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yqiri.Bublaku\Desktop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Sheet1!$A$200:$P$204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0" i="1" l="1"/>
  <c r="O381" i="1"/>
  <c r="O260" i="1"/>
  <c r="O276" i="1"/>
  <c r="O364" i="1"/>
  <c r="O357" i="1"/>
  <c r="O356" i="1"/>
  <c r="O341" i="1"/>
  <c r="O340" i="1"/>
  <c r="O318" i="1"/>
  <c r="O311" i="1"/>
  <c r="O303" i="1"/>
  <c r="O294" i="1"/>
  <c r="O251" i="1"/>
  <c r="O250" i="1"/>
  <c r="O203" i="1"/>
  <c r="O317" i="1"/>
  <c r="O201" i="1"/>
  <c r="O388" i="1" s="1"/>
  <c r="O376" i="1"/>
  <c r="M91" i="1"/>
  <c r="O391" i="1" l="1"/>
  <c r="O392" i="1"/>
  <c r="O359" i="1"/>
  <c r="O323" i="1"/>
  <c r="N290" i="1"/>
  <c r="N213" i="1"/>
  <c r="G318" i="1" l="1"/>
  <c r="G317" i="1"/>
  <c r="G309" i="1"/>
  <c r="J372" i="1"/>
  <c r="G372" i="1"/>
  <c r="J318" i="1"/>
  <c r="J317" i="1"/>
  <c r="G381" i="1"/>
  <c r="J260" i="1"/>
  <c r="G260" i="1"/>
  <c r="J276" i="1"/>
  <c r="G276" i="1"/>
  <c r="G277" i="1"/>
  <c r="J277" i="1"/>
  <c r="J364" i="1"/>
  <c r="G364" i="1"/>
  <c r="J357" i="1"/>
  <c r="G357" i="1"/>
  <c r="J356" i="1"/>
  <c r="G356" i="1"/>
  <c r="G341" i="1"/>
  <c r="G340" i="1"/>
  <c r="J311" i="1"/>
  <c r="G311" i="1"/>
  <c r="G303" i="1"/>
  <c r="J294" i="1"/>
  <c r="N294" i="1" s="1"/>
  <c r="G294" i="1"/>
  <c r="J251" i="1"/>
  <c r="G251" i="1"/>
  <c r="G250" i="1"/>
  <c r="J203" i="1"/>
  <c r="G203" i="1"/>
  <c r="G389" i="1" l="1"/>
  <c r="J250" i="1"/>
  <c r="J341" i="1"/>
  <c r="J321" i="1"/>
  <c r="J216" i="1"/>
  <c r="N216" i="1" s="1"/>
  <c r="G216" i="1"/>
  <c r="E392" i="1" s="1"/>
  <c r="J116" i="1"/>
  <c r="J117" i="1"/>
  <c r="J118" i="1"/>
  <c r="H119" i="1"/>
  <c r="L118" i="1"/>
  <c r="L117" i="1"/>
  <c r="L116" i="1"/>
  <c r="G392" i="1" l="1"/>
  <c r="F119" i="1"/>
  <c r="D119" i="1"/>
  <c r="J119" i="1" l="1"/>
  <c r="G390" i="1"/>
  <c r="E390" i="1" l="1"/>
  <c r="L115" i="1"/>
  <c r="L114" i="1"/>
  <c r="L113" i="1"/>
  <c r="J108" i="1"/>
  <c r="J109" i="1"/>
  <c r="J110" i="1"/>
  <c r="J111" i="1"/>
  <c r="J112" i="1"/>
  <c r="J113" i="1"/>
  <c r="J114" i="1"/>
  <c r="J115" i="1"/>
  <c r="M257" i="1"/>
  <c r="M256" i="1"/>
  <c r="N247" i="1"/>
  <c r="M248" i="1"/>
  <c r="M249" i="1"/>
  <c r="M247" i="1"/>
  <c r="L110" i="1"/>
  <c r="L111" i="1"/>
  <c r="L112" i="1"/>
  <c r="E391" i="1" l="1"/>
  <c r="G391" i="1"/>
  <c r="N391" i="1" s="1"/>
  <c r="E389" i="1"/>
  <c r="M250" i="1"/>
  <c r="M260" i="1"/>
  <c r="M251" i="1"/>
  <c r="N390" i="1"/>
  <c r="G388" i="1"/>
  <c r="N388" i="1" s="1"/>
  <c r="E388" i="1"/>
  <c r="O300" i="1"/>
  <c r="O291" i="1"/>
  <c r="N291" i="1" s="1"/>
  <c r="O283" i="1"/>
  <c r="M291" i="1"/>
  <c r="M294" i="1"/>
  <c r="M290" i="1"/>
  <c r="O274" i="1"/>
  <c r="O266" i="1"/>
  <c r="N266" i="1" s="1"/>
  <c r="N265" i="1"/>
  <c r="N392" i="1"/>
  <c r="O239" i="1"/>
  <c r="O231" i="1"/>
  <c r="M202" i="1"/>
  <c r="O389" i="1" l="1"/>
  <c r="C89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72" i="1"/>
  <c r="O394" i="1" l="1"/>
  <c r="N389" i="1"/>
  <c r="O204" i="1"/>
  <c r="N251" i="1"/>
  <c r="N250" i="1"/>
  <c r="N249" i="1"/>
  <c r="N248" i="1"/>
  <c r="N260" i="1"/>
  <c r="N257" i="1"/>
  <c r="N256" i="1"/>
  <c r="N365" i="1"/>
  <c r="N363" i="1"/>
  <c r="N373" i="1"/>
  <c r="N371" i="1"/>
  <c r="N382" i="1"/>
  <c r="N380" i="1"/>
  <c r="N381" i="1"/>
  <c r="N372" i="1" l="1"/>
  <c r="M389" i="1"/>
  <c r="M390" i="1"/>
  <c r="M391" i="1"/>
  <c r="M392" i="1"/>
  <c r="M388" i="1"/>
  <c r="K394" i="1"/>
  <c r="I394" i="1"/>
  <c r="G394" i="1"/>
  <c r="E394" i="1"/>
  <c r="O384" i="1"/>
  <c r="M380" i="1"/>
  <c r="L384" i="1"/>
  <c r="M373" i="1"/>
  <c r="M371" i="1"/>
  <c r="L376" i="1"/>
  <c r="O367" i="1"/>
  <c r="M363" i="1"/>
  <c r="L367" i="1"/>
  <c r="N354" i="1"/>
  <c r="N353" i="1"/>
  <c r="M354" i="1"/>
  <c r="M353" i="1"/>
  <c r="L359" i="1"/>
  <c r="N338" i="1"/>
  <c r="N337" i="1"/>
  <c r="O342" i="1"/>
  <c r="M338" i="1"/>
  <c r="M337" i="1"/>
  <c r="L342" i="1"/>
  <c r="N329" i="1"/>
  <c r="N330" i="1"/>
  <c r="N328" i="1"/>
  <c r="O332" i="1"/>
  <c r="M329" i="1"/>
  <c r="M330" i="1"/>
  <c r="M328" i="1"/>
  <c r="L332" i="1"/>
  <c r="N318" i="1"/>
  <c r="N319" i="1"/>
  <c r="M319" i="1"/>
  <c r="L323" i="1"/>
  <c r="O312" i="1"/>
  <c r="N309" i="1"/>
  <c r="N308" i="1"/>
  <c r="M309" i="1"/>
  <c r="M308" i="1"/>
  <c r="L312" i="1"/>
  <c r="N300" i="1"/>
  <c r="N303" i="1"/>
  <c r="N299" i="1"/>
  <c r="M300" i="1"/>
  <c r="M299" i="1"/>
  <c r="O304" i="1"/>
  <c r="L304" i="1"/>
  <c r="O295" i="1"/>
  <c r="L295" i="1"/>
  <c r="N283" i="1"/>
  <c r="N282" i="1"/>
  <c r="O286" i="1"/>
  <c r="M283" i="1"/>
  <c r="M282" i="1"/>
  <c r="L286" i="1"/>
  <c r="N274" i="1"/>
  <c r="N273" i="1"/>
  <c r="M274" i="1"/>
  <c r="M277" i="1"/>
  <c r="M273" i="1"/>
  <c r="O278" i="1"/>
  <c r="L278" i="1"/>
  <c r="M266" i="1"/>
  <c r="M265" i="1"/>
  <c r="O269" i="1"/>
  <c r="L269" i="1"/>
  <c r="O261" i="1"/>
  <c r="L261" i="1"/>
  <c r="O252" i="1"/>
  <c r="L252" i="1"/>
  <c r="N239" i="1"/>
  <c r="N238" i="1"/>
  <c r="M239" i="1"/>
  <c r="M238" i="1"/>
  <c r="O242" i="1"/>
  <c r="L242" i="1"/>
  <c r="N231" i="1"/>
  <c r="N230" i="1"/>
  <c r="M231" i="1"/>
  <c r="M230" i="1"/>
  <c r="O234" i="1"/>
  <c r="L234" i="1"/>
  <c r="N222" i="1"/>
  <c r="N221" i="1"/>
  <c r="O225" i="1"/>
  <c r="M222" i="1"/>
  <c r="M221" i="1"/>
  <c r="L225" i="1"/>
  <c r="N394" i="1" l="1"/>
  <c r="M394" i="1"/>
  <c r="O217" i="1"/>
  <c r="L217" i="1"/>
  <c r="M381" i="1"/>
  <c r="N364" i="1"/>
  <c r="N212" i="1"/>
  <c r="N202" i="1"/>
  <c r="N203" i="1"/>
  <c r="N201" i="1"/>
  <c r="M318" i="1"/>
  <c r="M213" i="1"/>
  <c r="M216" i="1"/>
  <c r="M212" i="1"/>
  <c r="M203" i="1"/>
  <c r="M201" i="1"/>
  <c r="L204" i="1"/>
  <c r="N356" i="1" l="1"/>
  <c r="M356" i="1"/>
  <c r="M317" i="1"/>
  <c r="N317" i="1"/>
  <c r="N311" i="1"/>
  <c r="M311" i="1"/>
  <c r="M341" i="1"/>
  <c r="N341" i="1"/>
  <c r="M364" i="1"/>
  <c r="M357" i="1"/>
  <c r="N357" i="1"/>
  <c r="M321" i="1"/>
  <c r="N321" i="1"/>
  <c r="M372" i="1"/>
  <c r="N340" i="1"/>
  <c r="M340" i="1"/>
  <c r="N276" i="1"/>
  <c r="L119" i="1" l="1"/>
  <c r="G261" i="1" l="1"/>
  <c r="G367" i="1"/>
  <c r="G252" i="1"/>
  <c r="J384" i="1"/>
  <c r="N384" i="1" s="1"/>
  <c r="G384" i="1"/>
  <c r="J376" i="1"/>
  <c r="N376" i="1" s="1"/>
  <c r="G376" i="1"/>
  <c r="J367" i="1"/>
  <c r="N367" i="1" s="1"/>
  <c r="J359" i="1"/>
  <c r="G359" i="1"/>
  <c r="J342" i="1"/>
  <c r="G342" i="1"/>
  <c r="J332" i="1"/>
  <c r="G332" i="1"/>
  <c r="J312" i="1"/>
  <c r="G312" i="1"/>
  <c r="J304" i="1"/>
  <c r="G304" i="1"/>
  <c r="J295" i="1"/>
  <c r="N295" i="1" s="1"/>
  <c r="G295" i="1"/>
  <c r="J286" i="1"/>
  <c r="G286" i="1"/>
  <c r="J278" i="1"/>
  <c r="J269" i="1"/>
  <c r="N269" i="1" s="1"/>
  <c r="G269" i="1"/>
  <c r="J261" i="1"/>
  <c r="J252" i="1"/>
  <c r="J242" i="1"/>
  <c r="G242" i="1"/>
  <c r="J234" i="1"/>
  <c r="G234" i="1"/>
  <c r="J225" i="1"/>
  <c r="G225" i="1"/>
  <c r="G217" i="1"/>
  <c r="M261" i="1" l="1"/>
  <c r="N261" i="1"/>
  <c r="M252" i="1"/>
  <c r="N252" i="1"/>
  <c r="M295" i="1"/>
  <c r="M225" i="1"/>
  <c r="N225" i="1"/>
  <c r="M269" i="1"/>
  <c r="M367" i="1"/>
  <c r="M376" i="1"/>
  <c r="M286" i="1"/>
  <c r="N286" i="1"/>
  <c r="M332" i="1"/>
  <c r="N332" i="1"/>
  <c r="M384" i="1"/>
  <c r="N312" i="1"/>
  <c r="M312" i="1"/>
  <c r="N242" i="1"/>
  <c r="M242" i="1"/>
  <c r="N342" i="1"/>
  <c r="M342" i="1"/>
  <c r="N278" i="1"/>
  <c r="N234" i="1"/>
  <c r="M234" i="1"/>
  <c r="M304" i="1"/>
  <c r="N304" i="1"/>
  <c r="N359" i="1"/>
  <c r="M359" i="1"/>
  <c r="J217" i="1"/>
  <c r="J323" i="1"/>
  <c r="G278" i="1"/>
  <c r="M278" i="1" s="1"/>
  <c r="G323" i="1"/>
  <c r="J204" i="1"/>
  <c r="N204" i="1" s="1"/>
  <c r="G204" i="1"/>
  <c r="N217" i="1" l="1"/>
  <c r="M217" i="1"/>
  <c r="M323" i="1"/>
  <c r="N323" i="1"/>
  <c r="M204" i="1"/>
  <c r="J107" i="1" l="1"/>
  <c r="L109" i="1"/>
  <c r="L108" i="1"/>
  <c r="L107" i="1"/>
  <c r="K91" i="1" l="1"/>
  <c r="I91" i="1"/>
  <c r="G91" i="1"/>
  <c r="E91" i="1"/>
  <c r="C91" i="1" l="1"/>
</calcChain>
</file>

<file path=xl/sharedStrings.xml><?xml version="1.0" encoding="utf-8"?>
<sst xmlns="http://schemas.openxmlformats.org/spreadsheetml/2006/main" count="486" uniqueCount="222">
  <si>
    <t xml:space="preserve">                                                  REPUBLIKA E KOSOVËS</t>
  </si>
  <si>
    <t xml:space="preserve">RAPORTI FINANCIAR </t>
  </si>
  <si>
    <t>Baza  për Raportim</t>
  </si>
  <si>
    <t xml:space="preserve">           Në bazë të Ligjit për Menaxhimin e Financave Publike dhe Përgjegjësitë (LMFPP-së) përkatësisht neni 45.4, kryetari i komunës duhët të</t>
  </si>
  <si>
    <t>Këto raporte duhet t'i dorëzohën kuvendit komunal dhe një kopje ministrit brenda tridhjetë (30) ditëve pas përfundimit të çdo periode, dhe</t>
  </si>
  <si>
    <t xml:space="preserve"> më pasë duhet të publikohën në faqën e internetit të komunës.</t>
  </si>
  <si>
    <t>Qëllimi i këtij raporti është që të njoftoi Bordin e Drejtorve, Komitetin për Politikë dhe Financa, Kuvendin Komunal, të gjitha mediet (elektro-</t>
  </si>
  <si>
    <t>et e performancës, raporti paraqet masën deri në të cilën qëllimet e performancës janë arritë, duke përfshi vlerësimin kuantitativ dhe kualit-</t>
  </si>
  <si>
    <t>ativ të rezultatëve.Ky raport gjithashtu paraqetë edhe krahasime me periudhën e njejtë të një viti më parë. Në këtë raport paraqitët mënyra</t>
  </si>
  <si>
    <t>e realizimit të buxhetit për nga karakteri ekonomik në pesë kategori kryesore ekonomike të shpënzimit; ndërsa për nga karakteri funksional</t>
  </si>
  <si>
    <t>Të dhënat e raportit për shpenzimet operative (Paga dhe Mëditje, Mallra dhe Shërbime, Shpenzime të Sherbimeve Komunale dhe Subvencio)</t>
  </si>
  <si>
    <t>Publike.</t>
  </si>
  <si>
    <t>Përgatitja e raportit është bërë në pajtim me Ligjin e Menaxhimit të Financave Publike dhe Përgjegjësit 03/L-048, të ndryshuar me Ligjin 04/L-</t>
  </si>
  <si>
    <t>221, dhe Standardet Ndërkombtare të Kontabilitetit të Sektorit Publik (SNKSP) bazuar në para të gatshme-raportimi financiar sipas parimit</t>
  </si>
  <si>
    <t xml:space="preserve">të kontabilitetit të bazuar në para të gatshme. </t>
  </si>
  <si>
    <t>Zyra e Kryetarit gjatë përgatitjës së këtij raporti s' bashku me Drejtoratin për Buxhet dhe Financa është munduar me përkushtimin më të madh</t>
  </si>
  <si>
    <t>Valuta raportuese është Euro (€).</t>
  </si>
  <si>
    <t>Ne mirëpresim çdo koment që do të kontribonte pozitivisht në përmirësimin e raporteve të ardhshme.</t>
  </si>
  <si>
    <t>Tab.nr.1</t>
  </si>
  <si>
    <t>Përshkrimi</t>
  </si>
  <si>
    <t>Buxheti</t>
  </si>
  <si>
    <t xml:space="preserve">Pagat </t>
  </si>
  <si>
    <t>Mallra e sherb.</t>
  </si>
  <si>
    <t>Shpenz.Kom.</t>
  </si>
  <si>
    <t>Subv.e transf.</t>
  </si>
  <si>
    <t>In.Kapitale</t>
  </si>
  <si>
    <t>Z.Kryetarit</t>
  </si>
  <si>
    <t>Adm.person</t>
  </si>
  <si>
    <t>Inspektorati</t>
  </si>
  <si>
    <t>Z.Kuvendit</t>
  </si>
  <si>
    <t>Buxhet dhe finan.</t>
  </si>
  <si>
    <t>Shërb Pub. Em.</t>
  </si>
  <si>
    <t>Z.K.Kthim</t>
  </si>
  <si>
    <t xml:space="preserve">Bujqësia </t>
  </si>
  <si>
    <t>Gjeodezi dhe Kad.</t>
  </si>
  <si>
    <t>Urbanizmi</t>
  </si>
  <si>
    <t>Administrata Sh.</t>
  </si>
  <si>
    <t>Kujd.Prim.Shënd</t>
  </si>
  <si>
    <t>Shërb Sociale</t>
  </si>
  <si>
    <t>Kultura dhe sporti</t>
  </si>
  <si>
    <t>Adm. Arsim</t>
  </si>
  <si>
    <t>Ars.Parafillor</t>
  </si>
  <si>
    <t>Ars. Fillor</t>
  </si>
  <si>
    <t>Ars. I Mesem</t>
  </si>
  <si>
    <t>Infrastruktur Publike</t>
  </si>
  <si>
    <t>Planif.dhe Zhvill.Ekon.</t>
  </si>
  <si>
    <t xml:space="preserve">     Deri sa tabela e lartë shenuar paraqet buxhetin-planifikimin e të hyrave dhe të dalave-shpenzimeve, tabelat në vazhdim të raportit paraq-</t>
  </si>
  <si>
    <t>Tabela  nr.2</t>
  </si>
  <si>
    <t>Nr.rend</t>
  </si>
  <si>
    <t>Muaji</t>
  </si>
  <si>
    <t>% me plan</t>
  </si>
  <si>
    <t>Janar</t>
  </si>
  <si>
    <t>Shkurt</t>
  </si>
  <si>
    <t>Mars</t>
  </si>
  <si>
    <t>Totali</t>
  </si>
  <si>
    <t xml:space="preserve">    Pasi që më lartë është bërë shpalosja e të hyrave vetanake të planifikuara e të realizuara, duke u krahasuar me vitin paraprak, kurë është</t>
  </si>
  <si>
    <t>Gjithsejt pranimet</t>
  </si>
  <si>
    <t>(AQBK) më këtë Nr.1000650070000022.</t>
  </si>
  <si>
    <t>performancën, krahas përgjegjësisë.  Në vijim kemi edhe këto ndarje teknike - koncepte kryesore:</t>
  </si>
  <si>
    <t xml:space="preserve">        * Ndarja buxhetore ,</t>
  </si>
  <si>
    <t xml:space="preserve">        * Akordimi I fondeve ,</t>
  </si>
  <si>
    <t xml:space="preserve">        * Zotimi I fondeve ,</t>
  </si>
  <si>
    <t xml:space="preserve">        * Inicimi I shpenzimeve ,</t>
  </si>
  <si>
    <t xml:space="preserve">        * Prokurimi, </t>
  </si>
  <si>
    <t xml:space="preserve">        * Pranimi I mallërave - shërbimeve ,</t>
  </si>
  <si>
    <t xml:space="preserve">        * Pagesa e faturave dhe </t>
  </si>
  <si>
    <t xml:space="preserve">        * Lëshimi I fondeve nga llogarija bankare.</t>
  </si>
  <si>
    <t xml:space="preserve">       Për të arritur qëllimet e një performance sa më të mirë në drejtim të shfrytëzimit të parasë publike (Vlera për paranë) me kohë në janar</t>
  </si>
  <si>
    <t>një e dymbdhjeta e buxhetit për muaj; ndërsa për kategorit tjera ekonomike të shpenzimeve sipas planit.</t>
  </si>
  <si>
    <t xml:space="preserve"> Në tabelat vijuse është bërë paraqitja e zhvillimit të buxhetit si për nga karakteri ekonomik, e poashtu edhe funksional I planifikimit dhe </t>
  </si>
  <si>
    <t>shpenzimit.</t>
  </si>
  <si>
    <t>Zyra e Kryetarit</t>
  </si>
  <si>
    <t>Tab.3</t>
  </si>
  <si>
    <t>Nr. Rendor</t>
  </si>
  <si>
    <t>Pershkrimi</t>
  </si>
  <si>
    <t>Ndarjet sipas SIMFK-së</t>
  </si>
  <si>
    <t>Pagat dhe Meditjet</t>
  </si>
  <si>
    <t>Mallrat dhe Sherbimet</t>
  </si>
  <si>
    <t>Shpezimet Komunale</t>
  </si>
  <si>
    <t>Subvencione dhe transf.</t>
  </si>
  <si>
    <t>Investime Kapitale</t>
  </si>
  <si>
    <t>Administrata dhe Personeli</t>
  </si>
  <si>
    <t>Drjetorati I Inspekcionit</t>
  </si>
  <si>
    <t>Zyra e Kuvendit Komunal</t>
  </si>
  <si>
    <t>D.për Buxhet dhe Financa</t>
  </si>
  <si>
    <t>Sherbimet Publike Emergjente</t>
  </si>
  <si>
    <t>D. Infrastrukturës Publike</t>
  </si>
  <si>
    <t>Zyra për Komunitete dhe Kthim</t>
  </si>
  <si>
    <t>D.e Bujqësisë</t>
  </si>
  <si>
    <t>D.Sherbimeve Kadastrale</t>
  </si>
  <si>
    <t>D.Administratës Shëndetësi</t>
  </si>
  <si>
    <t>Sherbimet Primare Shëndetësore</t>
  </si>
  <si>
    <t>Sherbimet Sociale</t>
  </si>
  <si>
    <t>D.për Kultur Rini dhe Sport</t>
  </si>
  <si>
    <t>D. Administratës Arsim</t>
  </si>
  <si>
    <t>Arsimi Parafillor</t>
  </si>
  <si>
    <t>Arsimi Fillor</t>
  </si>
  <si>
    <t>Arsimi I Mesem</t>
  </si>
  <si>
    <t>KOMUNA</t>
  </si>
  <si>
    <t>Kryetari i Komunës</t>
  </si>
  <si>
    <t>Ramiz Lladrovci</t>
  </si>
  <si>
    <t>_________________</t>
  </si>
  <si>
    <t>në njëzetë (20) programe -nënprograme buxhetore.</t>
  </si>
  <si>
    <t>D.për Planifikim dhe zhvillim Ekonomik</t>
  </si>
  <si>
    <t>këto të alokuara në disponim për t'I kryer zotimet, para se të lidhen kontratat.</t>
  </si>
  <si>
    <t xml:space="preserve">       Dihet se komuna shpenzimet i menaxhon përmes llogarisë së vetme të Thesarit (LVTH) e cila mbulohet nga Autoriteti Bankar I Kosovës</t>
  </si>
  <si>
    <t>Procesi i shpenzimeve është i përfshirë në disa koncepte kryesore (Ndarje teknike ) lidhur me shpenzimin e parave publike, së pari kemi të</t>
  </si>
  <si>
    <t xml:space="preserve">bëjm me delegimin e përgjegjësisë nga Zyrtari Kryesor Administrativ të menaxherët e programev-nënprogrameve, njëherit mbajtës të </t>
  </si>
  <si>
    <t>Tab.4</t>
  </si>
  <si>
    <t>Tab.23</t>
  </si>
  <si>
    <t>Tab.22</t>
  </si>
  <si>
    <t>Tab.21</t>
  </si>
  <si>
    <t>Tab.20</t>
  </si>
  <si>
    <t>Tab.19</t>
  </si>
  <si>
    <t>Tab.18</t>
  </si>
  <si>
    <t>Tab.17</t>
  </si>
  <si>
    <t>Tab.16</t>
  </si>
  <si>
    <t>Tab.15</t>
  </si>
  <si>
    <t>Tab.14</t>
  </si>
  <si>
    <t>Tab.13</t>
  </si>
  <si>
    <t>Tab.12</t>
  </si>
  <si>
    <t>Tab.11</t>
  </si>
  <si>
    <t>Tab.10</t>
  </si>
  <si>
    <t>Tab.9</t>
  </si>
  <si>
    <t>Tab.8</t>
  </si>
  <si>
    <t>Tab.7</t>
  </si>
  <si>
    <t>Tab.6</t>
  </si>
  <si>
    <t>Tab.5</t>
  </si>
  <si>
    <t>Ndarjet  SIMFK-së</t>
  </si>
  <si>
    <t xml:space="preserve">                                        KOMUNA E DRENASIT</t>
  </si>
  <si>
    <t xml:space="preserve">                                                  ZYRA E KRYETARIT</t>
  </si>
  <si>
    <t>Shpenzimi19</t>
  </si>
  <si>
    <t>% me alokim</t>
  </si>
  <si>
    <t>të donatorve të brendshem dhe përformancës të fituara nga Komuna.</t>
  </si>
  <si>
    <t>%me Alokim</t>
  </si>
  <si>
    <t>% me Alokim</t>
  </si>
  <si>
    <t>%me alokim</t>
  </si>
  <si>
    <t>Buxheti Final</t>
  </si>
  <si>
    <t>% buxh final</t>
  </si>
  <si>
    <t>Buxheti final</t>
  </si>
  <si>
    <t>Nr I puntorve</t>
  </si>
  <si>
    <t>8</t>
  </si>
  <si>
    <t>13</t>
  </si>
  <si>
    <t>5</t>
  </si>
  <si>
    <t>181</t>
  </si>
  <si>
    <t>14</t>
  </si>
  <si>
    <t>12</t>
  </si>
  <si>
    <t>22</t>
  </si>
  <si>
    <t>739</t>
  </si>
  <si>
    <t>175</t>
  </si>
  <si>
    <t>Real.Vitit 2020</t>
  </si>
  <si>
    <t>Realizimi 2021</t>
  </si>
  <si>
    <t xml:space="preserve"> paraqitur të hyrat indirekte nga gjykatat dhe gjobat e komunikacionit dhe grantet e performancës .</t>
  </si>
  <si>
    <t>Palni 2021</t>
  </si>
  <si>
    <t>të këti viti është përgatitur Plani I zotimit dhe shpenzimit të parasë së gatshme sipas periodave të vitit 2021 dhe është dorëzuar në Departa-</t>
  </si>
  <si>
    <t>Shpenzimi 2020</t>
  </si>
  <si>
    <t xml:space="preserve"> shpenzimet 21</t>
  </si>
  <si>
    <t>Shpenzimi20</t>
  </si>
  <si>
    <t xml:space="preserve"> shpenzimet21</t>
  </si>
  <si>
    <t>Shpenzimi 20</t>
  </si>
  <si>
    <t xml:space="preserve"> shpenzimet 2021</t>
  </si>
  <si>
    <t>% me buxhet</t>
  </si>
  <si>
    <t>Nese e shiqojm shumën e paraqitur në kolonen e buxhetit final të planifikuar shofim se shuma arrin në 15,399,334.00 euro, por</t>
  </si>
  <si>
    <t>mi i shpenzimit dhe shpenzimi. Ndarja e mjeteve nënkupton kërkesat e komunës për t'i pasur mjetet në disponim që t'i zotojë për të krijuar</t>
  </si>
  <si>
    <t>shpenzimet 20</t>
  </si>
  <si>
    <t>Prill</t>
  </si>
  <si>
    <t>Maj</t>
  </si>
  <si>
    <t>Qershor</t>
  </si>
  <si>
    <t>* Grande për performanc (59-61) =520,672.51 €</t>
  </si>
  <si>
    <t>mentin e Thesarit-M.F.P.T si para kushtë I ndarjës së mjeteve. Për këtë periodë mjetet financiare janë akorduar sipas planit , Pagat dhe Mëditjet</t>
  </si>
  <si>
    <t>përgatit dhe t'i dorëzojë kuvendit komunal raporte periodike të cilat mbulojnë vitin fiskal deri në fund të vitit .</t>
  </si>
  <si>
    <t>dhënat për numrin e punëtorve dhe shumat për shpenzimet e Pagave dhe Mëditjeve me Shërbimin e përllogaritjës së pagave ne Ministrin e Administratës</t>
  </si>
  <si>
    <t>Tabela Nr.1 Buxheti Komunal  sipas Ligjit Nr.07/L-041 për Buxhetin e Republikës së Kosovës për  vitin 2021, shprehur në euro.</t>
  </si>
  <si>
    <t xml:space="preserve">dhe Shpenzime të Investimeve Kapitale, janë në harmoni me Departamentin e Thesarit pranë Ministrisë se Financav Punës dhe Transferev, ndërsa të </t>
  </si>
  <si>
    <t>esin zhvillimin e buxhetit, po ashtu për të hyra  për periudhën raportuese.</t>
  </si>
  <si>
    <t xml:space="preserve">Korrik </t>
  </si>
  <si>
    <t>Gusht</t>
  </si>
  <si>
    <t>Shtator</t>
  </si>
  <si>
    <t>%  me 2020</t>
  </si>
  <si>
    <t>mundësi të porosisë si shërbimet-mallrat; ndërsa me planifikim është menduar masa e shpenzimit të mjeteve, pasi të jenë përmbushur kër-</t>
  </si>
  <si>
    <t>I Zhvillimit Të Buxhetit Janar - Dhjetor 2021</t>
  </si>
  <si>
    <t>Janar 2022</t>
  </si>
  <si>
    <t>nike dhe të shkruara) si dhe qytetarët për realizimin e buxhetit komunal për periudhën raportuese janar-dhjetor 2021.</t>
  </si>
  <si>
    <t>Buxheti komunal për periudhën janar-dhjetor 2021 nënkupton Ligjin .07/L-041 të miratuar nga Kuvendi i Kosovës.Deri sa buxheti paraqet qëllim-</t>
  </si>
  <si>
    <t>që me detaje dhe saktësi të paraqes realizimin-zhvillimin e buxhetit komunal për periudhën raportuese, gjegjësisht janar-dhjetor/021.</t>
  </si>
  <si>
    <t>Tetor</t>
  </si>
  <si>
    <t>Nentor</t>
  </si>
  <si>
    <t>Dhjetor</t>
  </si>
  <si>
    <t>Realizimi i të hyravë vetanake për periudhën Janar - Dhjetor 2021 dhe krahasimi i tyre me një vit më parë.</t>
  </si>
  <si>
    <t xml:space="preserve">      Tabela  Nr.2, paraqet të dhënat lidhur me  arkëtimin e të hyrave nga burimet vetanake direkte për periudhën janar-dhjetor të vitit fiskal 2021, të</t>
  </si>
  <si>
    <t xml:space="preserve">krahasuara me periudhën e njejt të  vitit paraprak. Krahasuar me planifikimin (1,306,660.00 €) të hyrat nga burimet vetanake direkte janë realizuar </t>
  </si>
  <si>
    <t>Për Njoftimin tuaj gjobat nga komuniacioni janë në shumë prej: 436,909.80 euro ,ndersa nga gjykatat shuma prej 18,315.00</t>
  </si>
  <si>
    <t xml:space="preserve">ndersa grantet e performances në shumë prej:520,672.51 euro ndersa granti I donatorve të brendshem në shum prej:13,220.85 €, ndersa totali </t>
  </si>
  <si>
    <t>tre mujorin e fundit Tetor - Dhjetor 2021.</t>
  </si>
  <si>
    <t xml:space="preserve">fjala te Grantet Qeveritare planifikimi vjetor është i paraparë të jetë në shumë prej: 14,092,674.00€, por kemi të alokuar për periudhën    </t>
  </si>
  <si>
    <t>Paraqitja grafike e planifikimit të të hyrave dhe realizimit për periudhën Janar - Dhjetor  të vitit 2021.</t>
  </si>
  <si>
    <t>Vërejtje :Shenime nga raporti i free balance  të datës 06.01.2021 pa gjoba trafiku dhe gjykatav,dhe grantev tjera.</t>
  </si>
  <si>
    <t>raportuese  shumë prej:14,069,276.07 €, apo më pakë se buxheti fillestar në shumë prej:23,397.93 €</t>
  </si>
  <si>
    <t xml:space="preserve">Shikuar ndarjet Alokimet) e Granteve (14,069,276.07 €) për nga karakteri I shpenzimeve, shpenzimet operative ( P&amp;M, M&amp;Sh,Sh.Sh.K) marrin </t>
  </si>
  <si>
    <t>pjesë në shumë prej :11,052,730.31 €, apo 78.56 %; kurse Sh.Kapitale me shumën prej:2,948,545.76 €, apo 20.96 %,Subvencionet me 0.48%</t>
  </si>
  <si>
    <t>Në periudhën janar-Dhjetor/021, (Alokimi) pranimet-të hyrat për nga burimet e financimit janë realizuar si vijon:</t>
  </si>
  <si>
    <t>* Grantet Qeveritare (Burimi I financimit 10) = 14,069,276.07 €,</t>
  </si>
  <si>
    <t xml:space="preserve">*Të Hyrat nga Burimet Vetanake 2021 (Burimi i financimit 21) = 1,168,977.27 €, të alokuara </t>
  </si>
  <si>
    <t xml:space="preserve">*Të Hyrat nga Burimet Vetanake 2020 (Burimi i financimit 22) = 1,135,436.89 €,  dhe </t>
  </si>
  <si>
    <t>*Donacionet (Burimi I financimit 31) =13,220.85  €.</t>
  </si>
  <si>
    <t>* Huaja në shumë prej:80,316.51 €</t>
  </si>
  <si>
    <t>Zhvillimi I buxhetit komunal për periudhën Janar-Dhjetor 2021 lidhur me të dalat-shpenzimet</t>
  </si>
  <si>
    <t xml:space="preserve">buxheteve, procesë ky si çdo vit edhe në këtë vit, është bërë në janar/021 nga ana e Kryetarit të Komunës, proces I cili ngrit transparencën dhe </t>
  </si>
  <si>
    <t>Realizimi - shpenzimi I buxhetit komunal sipas Programëve-nënprogrameve për periudhën Janar -Dhjetor 2021</t>
  </si>
  <si>
    <t xml:space="preserve">D.për Planifikim Urban </t>
  </si>
  <si>
    <t>ne si Komun kemi pasur të disponueshem vetem shumën prej: 16,987,900.13 euro .</t>
  </si>
  <si>
    <t>Në tabelen e lartë shenuar është paraqitur gjendja e mjeteve të alokuara janar - dhjetor/21 sipas karakterit ekonomik të shpenzimit, planifiki-</t>
  </si>
  <si>
    <t>kesat ligjore të pagesës. Në ndarjën e përgjithshme (16,987,900.13 €) Kategorija Ekonomike e Shpenzimeve Kapitale merr pjesë 31.51%, mjete</t>
  </si>
  <si>
    <t xml:space="preserve">Në kategorin e Investimeve kapitale kemi të alokuar më shumë shumën prej: 5,352,697.96 € dhe atë si rezultat I bartjeve dhe Grantev të </t>
  </si>
  <si>
    <t>Ndersa sa i perket dy kontratav Kolektive si Sektori i Arsimit dhe ai i Shëndetësis i kan kushtuar buxhetit ë komunës në vlerë prej : 499,024.88  €,</t>
  </si>
  <si>
    <t>Rezerva</t>
  </si>
  <si>
    <t>dhe atë nga kategoria e pagav dhe meditjev, ndersa nga mallrat dhe sherbimet shuma prej: 20,831.54,dhe nga investimet kapitale shuma prej:76,903.31 €</t>
  </si>
  <si>
    <t>Totali I përgjithëshem arrin shumën prej: 596,759.73</t>
  </si>
  <si>
    <t>Shfrytëzimi I mjeteve të ndara (16,987,900.13)në këtë vit është realizuar(15,432,138.29) 90.84 %.</t>
  </si>
  <si>
    <t>6</t>
  </si>
  <si>
    <t>89.34 % të planit, ndërsa në raport me periudhën e njejt të një viti më parë kemi ngritje të performancës për 31.91%, ne këtë raport nuk janë</t>
  </si>
  <si>
    <r>
      <t>I të hyrav deri me 31.12.2021 arrin shumën prej :</t>
    </r>
    <r>
      <rPr>
        <b/>
        <sz val="11"/>
        <color theme="1"/>
        <rFont val="Calibri"/>
        <family val="2"/>
        <scheme val="minor"/>
      </rPr>
      <t>2,156,472.64</t>
    </r>
    <r>
      <rPr>
        <sz val="11"/>
        <color theme="1"/>
        <rFont val="Calibri"/>
        <family val="2"/>
        <scheme val="minor"/>
      </rPr>
      <t xml:space="preserve"> € dhe nuk është perfundimtar sepse gjobat e Komunikacionit dhe gjykatev nuk janë aloku për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</si>
</sst>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7">
    <xf numFmtId="0" fontId="0" fillId="0" borderId="0" xfId="0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43" fontId="5" fillId="0" borderId="1" xfId="1" applyFont="1" applyBorder="1"/>
    <xf numFmtId="0" fontId="5" fillId="0" borderId="1" xfId="0" applyFont="1" applyBorder="1"/>
    <xf numFmtId="0" fontId="8" fillId="0" borderId="0" xfId="0" applyFont="1"/>
    <xf numFmtId="0" fontId="8" fillId="0" borderId="4" xfId="0" applyFont="1" applyBorder="1"/>
    <xf numFmtId="0" fontId="6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43" fontId="5" fillId="0" borderId="0" xfId="1" applyFont="1"/>
    <xf numFmtId="43" fontId="5" fillId="0" borderId="0" xfId="0" applyNumberFormat="1" applyFont="1"/>
    <xf numFmtId="0" fontId="10" fillId="0" borderId="0" xfId="0" applyFont="1"/>
    <xf numFmtId="43" fontId="5" fillId="2" borderId="2" xfId="1" applyFont="1" applyFill="1" applyBorder="1"/>
    <xf numFmtId="43" fontId="5" fillId="2" borderId="1" xfId="1" applyFont="1" applyFill="1" applyBorder="1"/>
    <xf numFmtId="0" fontId="12" fillId="2" borderId="2" xfId="0" applyFont="1" applyFill="1" applyBorder="1"/>
    <xf numFmtId="0" fontId="12" fillId="2" borderId="1" xfId="0" applyFont="1" applyFill="1" applyBorder="1"/>
    <xf numFmtId="43" fontId="9" fillId="2" borderId="2" xfId="1" applyFont="1" applyFill="1" applyBorder="1"/>
    <xf numFmtId="43" fontId="9" fillId="2" borderId="1" xfId="1" applyFont="1" applyFill="1" applyBorder="1"/>
    <xf numFmtId="43" fontId="13" fillId="0" borderId="1" xfId="1" applyFont="1" applyBorder="1"/>
    <xf numFmtId="43" fontId="1" fillId="0" borderId="1" xfId="1" applyFont="1" applyBorder="1"/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0" borderId="0" xfId="0" applyFont="1" applyAlignment="1">
      <alignment horizontal="center"/>
    </xf>
    <xf numFmtId="0" fontId="5" fillId="0" borderId="0" xfId="0" applyFont="1" applyAlignment="1"/>
    <xf numFmtId="4" fontId="0" fillId="0" borderId="0" xfId="0" applyNumberFormat="1"/>
    <xf numFmtId="0" fontId="6" fillId="0" borderId="0" xfId="0" applyFont="1" applyAlignment="1"/>
    <xf numFmtId="0" fontId="18" fillId="0" borderId="0" xfId="0" applyFont="1" applyAlignment="1"/>
    <xf numFmtId="0" fontId="13" fillId="0" borderId="0" xfId="0" applyFont="1" applyBorder="1" applyAlignment="1">
      <alignment horizontal="left"/>
    </xf>
    <xf numFmtId="0" fontId="0" fillId="0" borderId="0" xfId="0" applyFont="1"/>
    <xf numFmtId="43" fontId="10" fillId="0" borderId="0" xfId="0" applyNumberFormat="1" applyFont="1"/>
    <xf numFmtId="43" fontId="0" fillId="0" borderId="0" xfId="1" applyFont="1" applyFill="1" applyBorder="1"/>
    <xf numFmtId="49" fontId="19" fillId="0" borderId="0" xfId="1" applyNumberFormat="1" applyFont="1" applyFill="1" applyBorder="1" applyAlignment="1">
      <alignment horizontal="center"/>
    </xf>
    <xf numFmtId="43" fontId="10" fillId="0" borderId="0" xfId="1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19" fillId="2" borderId="1" xfId="0" applyFon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Fill="1" applyBorder="1" applyAlignment="1"/>
    <xf numFmtId="43" fontId="11" fillId="0" borderId="0" xfId="1" applyFont="1" applyFill="1" applyBorder="1" applyAlignment="1"/>
    <xf numFmtId="43" fontId="12" fillId="0" borderId="0" xfId="1" applyFont="1" applyFill="1" applyBorder="1" applyAlignment="1"/>
    <xf numFmtId="0" fontId="0" fillId="0" borderId="0" xfId="0" applyFill="1"/>
    <xf numFmtId="0" fontId="11" fillId="0" borderId="0" xfId="0" applyFont="1" applyAlignment="1"/>
    <xf numFmtId="43" fontId="10" fillId="0" borderId="0" xfId="0" applyNumberFormat="1" applyFont="1" applyFill="1" applyBorder="1"/>
    <xf numFmtId="43" fontId="6" fillId="2" borderId="2" xfId="1" applyFont="1" applyFill="1" applyBorder="1"/>
    <xf numFmtId="0" fontId="11" fillId="0" borderId="0" xfId="0" applyFont="1" applyFill="1" applyBorder="1"/>
    <xf numFmtId="43" fontId="11" fillId="0" borderId="0" xfId="1" applyFont="1" applyFill="1" applyBorder="1"/>
    <xf numFmtId="0" fontId="12" fillId="0" borderId="0" xfId="0" applyFont="1" applyFill="1" applyBorder="1"/>
    <xf numFmtId="0" fontId="13" fillId="0" borderId="0" xfId="0" applyFont="1" applyAlignment="1">
      <alignment horizontal="center"/>
    </xf>
    <xf numFmtId="39" fontId="14" fillId="0" borderId="0" xfId="1" applyNumberFormat="1" applyFont="1" applyFill="1" applyBorder="1"/>
    <xf numFmtId="43" fontId="15" fillId="0" borderId="0" xfId="0" applyNumberFormat="1" applyFont="1" applyFill="1" applyBorder="1"/>
    <xf numFmtId="43" fontId="14" fillId="0" borderId="0" xfId="1" applyFont="1" applyFill="1" applyBorder="1"/>
    <xf numFmtId="0" fontId="0" fillId="0" borderId="0" xfId="0" applyFill="1" applyBorder="1"/>
    <xf numFmtId="0" fontId="9" fillId="2" borderId="2" xfId="0" applyFont="1" applyFill="1" applyBorder="1"/>
    <xf numFmtId="43" fontId="18" fillId="2" borderId="2" xfId="1" applyFont="1" applyFill="1" applyBorder="1"/>
    <xf numFmtId="0" fontId="19" fillId="0" borderId="0" xfId="0" applyFont="1" applyFill="1" applyBorder="1"/>
    <xf numFmtId="43" fontId="15" fillId="0" borderId="0" xfId="1" applyFont="1" applyFill="1" applyBorder="1"/>
    <xf numFmtId="0" fontId="9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/>
    </xf>
    <xf numFmtId="43" fontId="1" fillId="2" borderId="2" xfId="1" applyFont="1" applyFill="1" applyBorder="1"/>
    <xf numFmtId="4" fontId="13" fillId="0" borderId="0" xfId="0" applyNumberFormat="1" applyFont="1"/>
    <xf numFmtId="43" fontId="0" fillId="0" borderId="0" xfId="0" applyNumberFormat="1" applyFont="1"/>
    <xf numFmtId="0" fontId="6" fillId="0" borderId="0" xfId="0" applyFont="1" applyBorder="1"/>
    <xf numFmtId="0" fontId="5" fillId="0" borderId="0" xfId="0" applyFont="1" applyBorder="1"/>
    <xf numFmtId="43" fontId="5" fillId="0" borderId="0" xfId="1" applyFont="1" applyBorder="1"/>
    <xf numFmtId="49" fontId="5" fillId="0" borderId="1" xfId="1" applyNumberFormat="1" applyFont="1" applyBorder="1" applyAlignment="1">
      <alignment horizontal="center"/>
    </xf>
    <xf numFmtId="49" fontId="1" fillId="0" borderId="1" xfId="1" applyNumberFormat="1" applyFont="1" applyBorder="1" applyAlignment="1">
      <alignment horizontal="center"/>
    </xf>
    <xf numFmtId="0" fontId="5" fillId="0" borderId="1" xfId="0" applyFont="1" applyBorder="1" applyAlignment="1"/>
    <xf numFmtId="49" fontId="0" fillId="0" borderId="1" xfId="1" applyNumberFormat="1" applyFont="1" applyBorder="1" applyAlignment="1">
      <alignment horizontal="center"/>
    </xf>
    <xf numFmtId="164" fontId="13" fillId="0" borderId="1" xfId="1" applyNumberFormat="1" applyFont="1" applyBorder="1" applyAlignment="1"/>
    <xf numFmtId="43" fontId="17" fillId="0" borderId="0" xfId="1" applyFont="1"/>
    <xf numFmtId="0" fontId="5" fillId="0" borderId="0" xfId="0" applyFont="1" applyFill="1"/>
    <xf numFmtId="0" fontId="11" fillId="0" borderId="0" xfId="0" applyFont="1" applyFill="1" applyAlignment="1"/>
    <xf numFmtId="0" fontId="12" fillId="0" borderId="2" xfId="0" applyFont="1" applyFill="1" applyBorder="1" applyAlignment="1"/>
    <xf numFmtId="0" fontId="12" fillId="0" borderId="1" xfId="0" applyFont="1" applyFill="1" applyBorder="1"/>
    <xf numFmtId="43" fontId="5" fillId="0" borderId="2" xfId="1" applyFont="1" applyFill="1" applyBorder="1" applyAlignment="1"/>
    <xf numFmtId="43" fontId="5" fillId="0" borderId="1" xfId="1" applyFont="1" applyFill="1" applyBorder="1" applyAlignment="1"/>
    <xf numFmtId="43" fontId="11" fillId="0" borderId="1" xfId="1" applyFont="1" applyFill="1" applyBorder="1" applyAlignment="1"/>
    <xf numFmtId="43" fontId="9" fillId="0" borderId="2" xfId="1" applyFont="1" applyFill="1" applyBorder="1" applyAlignment="1">
      <alignment horizontal="center"/>
    </xf>
    <xf numFmtId="43" fontId="9" fillId="0" borderId="2" xfId="1" applyFont="1" applyFill="1" applyBorder="1" applyAlignment="1"/>
    <xf numFmtId="43" fontId="9" fillId="0" borderId="1" xfId="1" applyFont="1" applyFill="1" applyBorder="1" applyAlignment="1"/>
    <xf numFmtId="43" fontId="12" fillId="0" borderId="1" xfId="1" applyFont="1" applyFill="1" applyBorder="1" applyAlignment="1"/>
    <xf numFmtId="0" fontId="10" fillId="0" borderId="0" xfId="0" applyFont="1" applyFill="1"/>
    <xf numFmtId="0" fontId="12" fillId="0" borderId="1" xfId="0" applyFont="1" applyFill="1" applyBorder="1" applyAlignment="1"/>
    <xf numFmtId="43" fontId="10" fillId="0" borderId="1" xfId="0" applyNumberFormat="1" applyFont="1" applyFill="1" applyBorder="1" applyAlignment="1"/>
    <xf numFmtId="43" fontId="9" fillId="0" borderId="1" xfId="1" applyFont="1" applyFill="1" applyBorder="1"/>
    <xf numFmtId="0" fontId="12" fillId="0" borderId="2" xfId="0" applyFont="1" applyFill="1" applyBorder="1"/>
    <xf numFmtId="43" fontId="5" fillId="0" borderId="2" xfId="1" applyFont="1" applyFill="1" applyBorder="1"/>
    <xf numFmtId="43" fontId="5" fillId="0" borderId="1" xfId="1" applyFont="1" applyFill="1" applyBorder="1"/>
    <xf numFmtId="43" fontId="9" fillId="0" borderId="2" xfId="1" applyFont="1" applyFill="1" applyBorder="1"/>
    <xf numFmtId="43" fontId="6" fillId="0" borderId="2" xfId="1" applyFont="1" applyFill="1" applyBorder="1"/>
    <xf numFmtId="0" fontId="12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3" fontId="10" fillId="2" borderId="2" xfId="1" applyFont="1" applyFill="1" applyBorder="1"/>
    <xf numFmtId="43" fontId="6" fillId="0" borderId="1" xfId="1" applyFont="1" applyBorder="1" applyAlignment="1"/>
    <xf numFmtId="0" fontId="6" fillId="0" borderId="1" xfId="0" applyFont="1" applyBorder="1" applyAlignment="1"/>
    <xf numFmtId="43" fontId="5" fillId="0" borderId="1" xfId="1" applyFont="1" applyBorder="1" applyAlignment="1"/>
    <xf numFmtId="0" fontId="6" fillId="0" borderId="0" xfId="0" applyFont="1" applyBorder="1" applyAlignment="1"/>
    <xf numFmtId="43" fontId="5" fillId="0" borderId="0" xfId="1" applyFont="1" applyBorder="1" applyAlignment="1"/>
    <xf numFmtId="43" fontId="6" fillId="0" borderId="0" xfId="1" applyFont="1" applyBorder="1" applyAlignment="1"/>
    <xf numFmtId="43" fontId="11" fillId="0" borderId="0" xfId="1" applyFont="1"/>
    <xf numFmtId="43" fontId="14" fillId="0" borderId="0" xfId="1" applyFont="1"/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9" fillId="0" borderId="0" xfId="1" applyFont="1" applyFill="1" applyBorder="1"/>
    <xf numFmtId="43" fontId="6" fillId="0" borderId="0" xfId="1" applyFont="1" applyFill="1" applyBorder="1"/>
    <xf numFmtId="49" fontId="9" fillId="0" borderId="0" xfId="1" applyNumberFormat="1" applyFont="1" applyFill="1" applyBorder="1" applyAlignment="1">
      <alignment horizontal="center"/>
    </xf>
    <xf numFmtId="43" fontId="18" fillId="2" borderId="0" xfId="1" applyFont="1" applyFill="1" applyBorder="1"/>
    <xf numFmtId="0" fontId="6" fillId="0" borderId="0" xfId="0" applyFont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43" fontId="1" fillId="2" borderId="2" xfId="1" applyFont="1" applyFill="1" applyBorder="1" applyAlignment="1">
      <alignment horizontal="center"/>
    </xf>
    <xf numFmtId="43" fontId="1" fillId="2" borderId="3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/>
    </xf>
    <xf numFmtId="43" fontId="5" fillId="2" borderId="7" xfId="1" applyFont="1" applyFill="1" applyBorder="1"/>
    <xf numFmtId="43" fontId="5" fillId="2" borderId="8" xfId="1" applyFont="1" applyFill="1" applyBorder="1"/>
    <xf numFmtId="43" fontId="6" fillId="2" borderId="1" xfId="1" applyFont="1" applyFill="1" applyBorder="1"/>
    <xf numFmtId="49" fontId="6" fillId="0" borderId="9" xfId="1" applyNumberFormat="1" applyFont="1" applyFill="1" applyBorder="1" applyAlignment="1">
      <alignment horizontal="center"/>
    </xf>
    <xf numFmtId="49" fontId="6" fillId="2" borderId="9" xfId="1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3" fontId="6" fillId="0" borderId="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43" fontId="5" fillId="2" borderId="2" xfId="1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3" fontId="1" fillId="2" borderId="2" xfId="1" applyFont="1" applyFill="1" applyBorder="1" applyAlignment="1">
      <alignment horizontal="center"/>
    </xf>
    <xf numFmtId="43" fontId="1" fillId="2" borderId="3" xfId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2" xfId="0" applyNumberFormat="1" applyFont="1" applyBorder="1" applyAlignment="1">
      <alignment horizontal="center"/>
    </xf>
    <xf numFmtId="43" fontId="10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3" fontId="5" fillId="2" borderId="6" xfId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3" fontId="1" fillId="0" borderId="2" xfId="1" applyFont="1" applyFill="1" applyBorder="1" applyAlignment="1">
      <alignment horizontal="center"/>
    </xf>
    <xf numFmtId="43" fontId="1" fillId="0" borderId="3" xfId="1" applyFont="1" applyFill="1" applyBorder="1" applyAlignment="1">
      <alignment horizontal="center"/>
    </xf>
    <xf numFmtId="43" fontId="6" fillId="0" borderId="2" xfId="0" applyNumberFormat="1" applyFont="1" applyFill="1" applyBorder="1" applyAlignment="1">
      <alignment horizontal="center"/>
    </xf>
    <xf numFmtId="43" fontId="6" fillId="0" borderId="3" xfId="0" applyNumberFormat="1" applyFont="1" applyFill="1" applyBorder="1" applyAlignment="1">
      <alignment horizontal="center"/>
    </xf>
    <xf numFmtId="43" fontId="9" fillId="0" borderId="2" xfId="0" applyNumberFormat="1" applyFont="1" applyFill="1" applyBorder="1" applyAlignment="1">
      <alignment horizontal="center"/>
    </xf>
    <xf numFmtId="43" fontId="9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3" fontId="9" fillId="0" borderId="2" xfId="0" applyNumberFormat="1" applyFont="1" applyBorder="1" applyAlignment="1">
      <alignment horizontal="center"/>
    </xf>
    <xf numFmtId="43" fontId="9" fillId="0" borderId="3" xfId="0" applyNumberFormat="1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/>
    </xf>
    <xf numFmtId="43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43" fontId="6" fillId="0" borderId="2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3" fontId="6" fillId="0" borderId="1" xfId="0" applyNumberFormat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17" fillId="0" borderId="4" xfId="1" applyFont="1" applyBorder="1" applyAlignment="1">
      <alignment horizontal="center"/>
    </xf>
    <xf numFmtId="0" fontId="12" fillId="0" borderId="2" xfId="0" applyFont="1" applyFill="1" applyBorder="1" applyAlignment="1"/>
    <xf numFmtId="0" fontId="12" fillId="0" borderId="3" xfId="0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3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4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22" fillId="0" borderId="0" xfId="0" applyFont="1" applyAlignment="1">
      <alignment horizontal="center"/>
    </xf>
    <xf numFmtId="43" fontId="9" fillId="2" borderId="2" xfId="1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6" fillId="0" borderId="0" xfId="1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825437074602958E-2"/>
          <c:y val="0.18311803152317641"/>
          <c:w val="0.92118724142533026"/>
          <c:h val="0.5086841181802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Sheet1!$C$387:$M$387</c:f>
              <c:strCache>
                <c:ptCount val="11"/>
                <c:pt idx="0">
                  <c:v>Pershkrimi</c:v>
                </c:pt>
                <c:pt idx="2">
                  <c:v>Ndarjet  SIMFK-së</c:v>
                </c:pt>
                <c:pt idx="4">
                  <c:v> shpenzimet 2021</c:v>
                </c:pt>
                <c:pt idx="6">
                  <c:v>shpenzimet 20</c:v>
                </c:pt>
                <c:pt idx="8">
                  <c:v>Shpenzimi19</c:v>
                </c:pt>
                <c:pt idx="10">
                  <c:v>% me alokim</c:v>
                </c:pt>
              </c:strCache>
            </c:strRef>
          </c:cat>
          <c:val>
            <c:numRef>
              <c:f>Sheet1!$C$388:$M$388</c:f>
              <c:numCache>
                <c:formatCode>General</c:formatCode>
                <c:ptCount val="11"/>
                <c:pt idx="0">
                  <c:v>0</c:v>
                </c:pt>
                <c:pt idx="2" formatCode="_(* #,##0.00_);_(* \(#,##0.00\);_(* &quot;-&quot;??_);_(@_)">
                  <c:v>8914997.120000001</c:v>
                </c:pt>
                <c:pt idx="4" formatCode="_(* #,##0.00_);_(* \(#,##0.00\);_(* &quot;-&quot;??_);_(@_)">
                  <c:v>8914997.120000001</c:v>
                </c:pt>
                <c:pt idx="6" formatCode="_(* #,##0.00_);_(* \(#,##0.00\);_(* &quot;-&quot;??_);_(@_)">
                  <c:v>8524870.0399999991</c:v>
                </c:pt>
                <c:pt idx="8" formatCode="_(* #,##0.00_);_(* \(#,##0.00\);_(* &quot;-&quot;??_);_(@_)">
                  <c:v>8150885.21</c:v>
                </c:pt>
                <c:pt idx="10" formatCode="_(* #,##0.00_);_(* \(#,##0.00\);_(* &quot;-&quot;??_);_(@_)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29-4A4F-B40C-FFD99E9F047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Sheet1!$C$387:$M$387</c:f>
              <c:strCache>
                <c:ptCount val="11"/>
                <c:pt idx="0">
                  <c:v>Pershkrimi</c:v>
                </c:pt>
                <c:pt idx="2">
                  <c:v>Ndarjet  SIMFK-së</c:v>
                </c:pt>
                <c:pt idx="4">
                  <c:v> shpenzimet 2021</c:v>
                </c:pt>
                <c:pt idx="6">
                  <c:v>shpenzimet 20</c:v>
                </c:pt>
                <c:pt idx="8">
                  <c:v>Shpenzimi19</c:v>
                </c:pt>
                <c:pt idx="10">
                  <c:v>% me alokim</c:v>
                </c:pt>
              </c:strCache>
            </c:strRef>
          </c:cat>
          <c:val>
            <c:numRef>
              <c:f>Sheet1!$C$389:$M$389</c:f>
              <c:numCache>
                <c:formatCode>General</c:formatCode>
                <c:ptCount val="11"/>
                <c:pt idx="0">
                  <c:v>0</c:v>
                </c:pt>
                <c:pt idx="2" formatCode="_(* #,##0.00_);_(* \(#,##0.00\);_(* &quot;-&quot;??_);_(@_)">
                  <c:v>2023486.7599999998</c:v>
                </c:pt>
                <c:pt idx="4" formatCode="_(* #,##0.00_);_(* \(#,##0.00\);_(* &quot;-&quot;??_);_(@_)">
                  <c:v>1411089.33</c:v>
                </c:pt>
                <c:pt idx="6" formatCode="_(* #,##0.00_);_(* \(#,##0.00\);_(* &quot;-&quot;??_);_(@_)">
                  <c:v>1361893.26</c:v>
                </c:pt>
                <c:pt idx="8" formatCode="_(* #,##0.00_);_(* \(#,##0.00\);_(* &quot;-&quot;??_);_(@_)">
                  <c:v>1506915.17</c:v>
                </c:pt>
                <c:pt idx="10" formatCode="_(* #,##0.00_);_(* \(#,##0.00\);_(* &quot;-&quot;??_);_(@_)">
                  <c:v>69.735535605876663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29-4A4F-B40C-FFD99E9F047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Sheet1!$C$387:$M$387</c:f>
              <c:strCache>
                <c:ptCount val="11"/>
                <c:pt idx="0">
                  <c:v>Pershkrimi</c:v>
                </c:pt>
                <c:pt idx="2">
                  <c:v>Ndarjet  SIMFK-së</c:v>
                </c:pt>
                <c:pt idx="4">
                  <c:v> shpenzimet 2021</c:v>
                </c:pt>
                <c:pt idx="6">
                  <c:v>shpenzimet 20</c:v>
                </c:pt>
                <c:pt idx="8">
                  <c:v>Shpenzimi19</c:v>
                </c:pt>
                <c:pt idx="10">
                  <c:v>% me alokim</c:v>
                </c:pt>
              </c:strCache>
            </c:strRef>
          </c:cat>
          <c:val>
            <c:numRef>
              <c:f>Sheet1!$C$390:$M$390</c:f>
              <c:numCache>
                <c:formatCode>General</c:formatCode>
                <c:ptCount val="11"/>
                <c:pt idx="0">
                  <c:v>0</c:v>
                </c:pt>
                <c:pt idx="2" formatCode="_(* #,##0.00_);_(* \(#,##0.00\);_(* &quot;-&quot;??_);_(@_)">
                  <c:v>269574.01</c:v>
                </c:pt>
                <c:pt idx="4" formatCode="_(* #,##0.00_);_(* \(#,##0.00\);_(* &quot;-&quot;??_);_(@_)">
                  <c:v>213075.18</c:v>
                </c:pt>
                <c:pt idx="6" formatCode="_(* #,##0.00_);_(* \(#,##0.00\);_(* &quot;-&quot;??_);_(@_)">
                  <c:v>194765.78</c:v>
                </c:pt>
                <c:pt idx="8" formatCode="_(* #,##0.00_);_(* \(#,##0.00\);_(* &quot;-&quot;??_);_(@_)">
                  <c:v>187251.77</c:v>
                </c:pt>
                <c:pt idx="10" formatCode="_(* #,##0.00_);_(* \(#,##0.00\);_(* &quot;-&quot;??_);_(@_)">
                  <c:v>79.041440233797019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29-4A4F-B40C-FFD99E9F047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Sheet1!$C$387:$M$387</c:f>
              <c:strCache>
                <c:ptCount val="11"/>
                <c:pt idx="0">
                  <c:v>Pershkrimi</c:v>
                </c:pt>
                <c:pt idx="2">
                  <c:v>Ndarjet  SIMFK-së</c:v>
                </c:pt>
                <c:pt idx="4">
                  <c:v> shpenzimet 2021</c:v>
                </c:pt>
                <c:pt idx="6">
                  <c:v>shpenzimet 20</c:v>
                </c:pt>
                <c:pt idx="8">
                  <c:v>Shpenzimi19</c:v>
                </c:pt>
                <c:pt idx="10">
                  <c:v>% me alokim</c:v>
                </c:pt>
              </c:strCache>
            </c:strRef>
          </c:cat>
          <c:val>
            <c:numRef>
              <c:f>Sheet1!$C$391:$M$391</c:f>
              <c:numCache>
                <c:formatCode>General</c:formatCode>
                <c:ptCount val="11"/>
                <c:pt idx="0">
                  <c:v>0</c:v>
                </c:pt>
                <c:pt idx="2" formatCode="_(* #,##0.00_);_(* \(#,##0.00\);_(* &quot;-&quot;??_);_(@_)">
                  <c:v>427144.28</c:v>
                </c:pt>
                <c:pt idx="4" formatCode="_(* #,##0.00_);_(* \(#,##0.00\);_(* &quot;-&quot;??_);_(@_)">
                  <c:v>380103.3</c:v>
                </c:pt>
                <c:pt idx="6" formatCode="_(* #,##0.00_);_(* \(#,##0.00\);_(* &quot;-&quot;??_);_(@_)">
                  <c:v>430330.64</c:v>
                </c:pt>
                <c:pt idx="8" formatCode="_(* #,##0.00_);_(* \(#,##0.00\);_(* &quot;-&quot;??_);_(@_)">
                  <c:v>245478.88</c:v>
                </c:pt>
                <c:pt idx="10" formatCode="_(* #,##0.00_);_(* \(#,##0.00\);_(* &quot;-&quot;??_);_(@_)">
                  <c:v>88.987098223579153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29-4A4F-B40C-FFD99E9F047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Sheet1!$C$387:$M$387</c:f>
              <c:strCache>
                <c:ptCount val="11"/>
                <c:pt idx="0">
                  <c:v>Pershkrimi</c:v>
                </c:pt>
                <c:pt idx="2">
                  <c:v>Ndarjet  SIMFK-së</c:v>
                </c:pt>
                <c:pt idx="4">
                  <c:v> shpenzimet 2021</c:v>
                </c:pt>
                <c:pt idx="6">
                  <c:v>shpenzimet 20</c:v>
                </c:pt>
                <c:pt idx="8">
                  <c:v>Shpenzimi19</c:v>
                </c:pt>
                <c:pt idx="10">
                  <c:v>% me alokim</c:v>
                </c:pt>
              </c:strCache>
            </c:strRef>
          </c:cat>
          <c:val>
            <c:numRef>
              <c:f>Sheet1!$C$392:$M$392</c:f>
              <c:numCache>
                <c:formatCode>General</c:formatCode>
                <c:ptCount val="11"/>
                <c:pt idx="0">
                  <c:v>0</c:v>
                </c:pt>
                <c:pt idx="2" formatCode="_(* #,##0.00_);_(* \(#,##0.00\);_(* &quot;-&quot;??_);_(@_)">
                  <c:v>5352697.96</c:v>
                </c:pt>
                <c:pt idx="4" formatCode="_(* #,##0.00_);_(* \(#,##0.00\);_(* &quot;-&quot;??_);_(@_)">
                  <c:v>4512873.3600000003</c:v>
                </c:pt>
                <c:pt idx="6" formatCode="_(* #,##0.00_);_(* \(#,##0.00\);_(* &quot;-&quot;??_);_(@_)">
                  <c:v>5071378.04</c:v>
                </c:pt>
                <c:pt idx="8" formatCode="_(* #,##0.00_);_(* \(#,##0.00\);_(* &quot;-&quot;??_);_(@_)">
                  <c:v>4543963.46</c:v>
                </c:pt>
                <c:pt idx="10" formatCode="_(* #,##0.00_);_(* \(#,##0.00\);_(* &quot;-&quot;??_);_(@_)">
                  <c:v>84.310256131096935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29-4A4F-B40C-FFD99E9F0472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Sheet1!$C$387:$M$387</c:f>
              <c:strCache>
                <c:ptCount val="11"/>
                <c:pt idx="0">
                  <c:v>Pershkrimi</c:v>
                </c:pt>
                <c:pt idx="2">
                  <c:v>Ndarjet  SIMFK-së</c:v>
                </c:pt>
                <c:pt idx="4">
                  <c:v> shpenzimet 2021</c:v>
                </c:pt>
                <c:pt idx="6">
                  <c:v>shpenzimet 20</c:v>
                </c:pt>
                <c:pt idx="8">
                  <c:v>Shpenzimi19</c:v>
                </c:pt>
                <c:pt idx="10">
                  <c:v>% me alokim</c:v>
                </c:pt>
              </c:strCache>
            </c:strRef>
          </c:cat>
          <c:val>
            <c:numRef>
              <c:f>Sheet1!$C$394:$M$394</c:f>
              <c:numCache>
                <c:formatCode>General</c:formatCode>
                <c:ptCount val="11"/>
                <c:pt idx="2" formatCode="_(* #,##0.00_);_(* \(#,##0.00\);_(* &quot;-&quot;??_);_(@_)">
                  <c:v>16987900.129999999</c:v>
                </c:pt>
                <c:pt idx="4" formatCode="_(* #,##0.00_);_(* \(#,##0.00\);_(* &quot;-&quot;??_);_(@_)">
                  <c:v>15432138.290000003</c:v>
                </c:pt>
                <c:pt idx="6" formatCode="_(* #,##0.00_);_(* \(#,##0.00\);_(* &quot;-&quot;??_);_(@_)">
                  <c:v>15583237.759999998</c:v>
                </c:pt>
                <c:pt idx="8" formatCode="_(* #,##0.00_);_(* \(#,##0.00\);_(* &quot;-&quot;??_);_(@_)">
                  <c:v>14634494.489999998</c:v>
                </c:pt>
                <c:pt idx="10" formatCode="_(* #,##0.00_);_(* \(#,##0.00\);_(* &quot;-&quot;??_);_(@_)">
                  <c:v>90.84194145188917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229-4A4F-B40C-FFD99E9F0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5738240"/>
        <c:axId val="1515749664"/>
      </c:barChart>
      <c:catAx>
        <c:axId val="15157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749664"/>
        <c:crosses val="autoZero"/>
        <c:auto val="1"/>
        <c:lblAlgn val="ctr"/>
        <c:lblOffset val="100"/>
        <c:noMultiLvlLbl val="0"/>
      </c:catAx>
      <c:valAx>
        <c:axId val="1515749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7382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Sheet1!$D$106</c:f>
              <c:strCache>
                <c:ptCount val="1"/>
                <c:pt idx="0">
                  <c:v>Palni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Sheet1!$B$107:$B$119</c:f>
              <c:strCache>
                <c:ptCount val="13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 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  <c:pt idx="12">
                  <c:v>Totali</c:v>
                </c:pt>
              </c:strCache>
            </c:strRef>
          </c:cat>
          <c:val>
            <c:numRef>
              <c:f>Sheet1!$D$107:$D$119</c:f>
              <c:numCache>
                <c:formatCode>_(* #,##0.00_);_(* \(#,##0.00\);_(* "-"??_);_(@_)</c:formatCode>
                <c:ptCount val="13"/>
                <c:pt idx="0">
                  <c:v>108888.33</c:v>
                </c:pt>
                <c:pt idx="1">
                  <c:v>108888.33</c:v>
                </c:pt>
                <c:pt idx="2">
                  <c:v>108888.33</c:v>
                </c:pt>
                <c:pt idx="3">
                  <c:v>108888.33</c:v>
                </c:pt>
                <c:pt idx="4">
                  <c:v>108888.33</c:v>
                </c:pt>
                <c:pt idx="5">
                  <c:v>108888.33</c:v>
                </c:pt>
                <c:pt idx="6">
                  <c:v>108888.33</c:v>
                </c:pt>
                <c:pt idx="7">
                  <c:v>108888.33</c:v>
                </c:pt>
                <c:pt idx="8">
                  <c:v>108888.34</c:v>
                </c:pt>
                <c:pt idx="9">
                  <c:v>108888.34</c:v>
                </c:pt>
                <c:pt idx="10">
                  <c:v>108888.34</c:v>
                </c:pt>
                <c:pt idx="11">
                  <c:v>108888.34</c:v>
                </c:pt>
                <c:pt idx="12">
                  <c:v>1306660</c:v>
                </c:pt>
              </c:numCache>
            </c:numRef>
          </c:val>
        </c:ser>
        <c:ser>
          <c:idx val="3"/>
          <c:order val="3"/>
          <c:tx>
            <c:strRef>
              <c:f>Sheet1!$F$106</c:f>
              <c:strCache>
                <c:ptCount val="1"/>
                <c:pt idx="0">
                  <c:v>Realizimi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Sheet1!$B$107:$B$119</c:f>
              <c:strCache>
                <c:ptCount val="13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 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  <c:pt idx="12">
                  <c:v>Totali</c:v>
                </c:pt>
              </c:strCache>
            </c:strRef>
          </c:cat>
          <c:val>
            <c:numRef>
              <c:f>Sheet1!$F$107:$F$119</c:f>
              <c:numCache>
                <c:formatCode>_(* #,##0.00_);_(* \(#,##0.00\);_(* "-"??_);_(@_)</c:formatCode>
                <c:ptCount val="13"/>
                <c:pt idx="0">
                  <c:v>108195.73</c:v>
                </c:pt>
                <c:pt idx="1">
                  <c:v>70062.740000000005</c:v>
                </c:pt>
                <c:pt idx="2">
                  <c:v>87324.29</c:v>
                </c:pt>
                <c:pt idx="3">
                  <c:v>75257.2</c:v>
                </c:pt>
                <c:pt idx="4">
                  <c:v>102975.21</c:v>
                </c:pt>
                <c:pt idx="5">
                  <c:v>123918.28</c:v>
                </c:pt>
                <c:pt idx="6">
                  <c:v>91397.62</c:v>
                </c:pt>
                <c:pt idx="7">
                  <c:v>131050.33</c:v>
                </c:pt>
                <c:pt idx="8">
                  <c:v>117212.78</c:v>
                </c:pt>
                <c:pt idx="9">
                  <c:v>103102.2</c:v>
                </c:pt>
                <c:pt idx="10">
                  <c:v>72958.92</c:v>
                </c:pt>
                <c:pt idx="11">
                  <c:v>83899.18</c:v>
                </c:pt>
                <c:pt idx="12">
                  <c:v>1167354.48</c:v>
                </c:pt>
              </c:numCache>
            </c:numRef>
          </c:val>
        </c:ser>
        <c:ser>
          <c:idx val="5"/>
          <c:order val="5"/>
          <c:tx>
            <c:strRef>
              <c:f>Sheet1!$H$106</c:f>
              <c:strCache>
                <c:ptCount val="1"/>
                <c:pt idx="0">
                  <c:v>Real.Vitit 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Sheet1!$B$107:$B$119</c:f>
              <c:strCache>
                <c:ptCount val="13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 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  <c:pt idx="12">
                  <c:v>Totali</c:v>
                </c:pt>
              </c:strCache>
            </c:strRef>
          </c:cat>
          <c:val>
            <c:numRef>
              <c:f>Sheet1!$H$107:$H$119</c:f>
              <c:numCache>
                <c:formatCode>_(* #,##0.00_);_(* \(#,##0.00\);_(* "-"??_);_(@_)</c:formatCode>
                <c:ptCount val="13"/>
                <c:pt idx="0">
                  <c:v>98915</c:v>
                </c:pt>
                <c:pt idx="1">
                  <c:v>102622.35</c:v>
                </c:pt>
                <c:pt idx="2">
                  <c:v>48700.69</c:v>
                </c:pt>
                <c:pt idx="3">
                  <c:v>15706.41</c:v>
                </c:pt>
                <c:pt idx="4">
                  <c:v>30286.37</c:v>
                </c:pt>
                <c:pt idx="5">
                  <c:v>104193.43</c:v>
                </c:pt>
                <c:pt idx="6">
                  <c:v>63223.38</c:v>
                </c:pt>
                <c:pt idx="7">
                  <c:v>81502.899999999994</c:v>
                </c:pt>
                <c:pt idx="8">
                  <c:v>65817.61</c:v>
                </c:pt>
                <c:pt idx="9">
                  <c:v>102546.81</c:v>
                </c:pt>
                <c:pt idx="10">
                  <c:v>64037.47</c:v>
                </c:pt>
                <c:pt idx="11">
                  <c:v>107432.35</c:v>
                </c:pt>
                <c:pt idx="12">
                  <c:v>884984.7699999999</c:v>
                </c:pt>
              </c:numCache>
            </c:numRef>
          </c:val>
        </c:ser>
        <c:ser>
          <c:idx val="7"/>
          <c:order val="7"/>
          <c:tx>
            <c:strRef>
              <c:f>Sheet1!$J$106</c:f>
              <c:strCache>
                <c:ptCount val="1"/>
                <c:pt idx="0">
                  <c:v>% me plan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Sheet1!$B$107:$B$119</c:f>
              <c:strCache>
                <c:ptCount val="13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 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  <c:pt idx="12">
                  <c:v>Totali</c:v>
                </c:pt>
              </c:strCache>
            </c:strRef>
          </c:cat>
          <c:val>
            <c:numRef>
              <c:f>Sheet1!$J$107:$J$119</c:f>
              <c:numCache>
                <c:formatCode>_(* #,##0.00_);_(* \(#,##0.00\);_(* "-"??_);_(@_)</c:formatCode>
                <c:ptCount val="13"/>
                <c:pt idx="0">
                  <c:v>99.363935510811856</c:v>
                </c:pt>
                <c:pt idx="1">
                  <c:v>64.343662906759619</c:v>
                </c:pt>
                <c:pt idx="2">
                  <c:v>80.196188149822845</c:v>
                </c:pt>
                <c:pt idx="3">
                  <c:v>69.114109840788259</c:v>
                </c:pt>
                <c:pt idx="4">
                  <c:v>94.56955580088335</c:v>
                </c:pt>
                <c:pt idx="5">
                  <c:v>113.80308615257485</c:v>
                </c:pt>
                <c:pt idx="6">
                  <c:v>83.937020615524176</c:v>
                </c:pt>
                <c:pt idx="7">
                  <c:v>120.35296160754784</c:v>
                </c:pt>
                <c:pt idx="8">
                  <c:v>107.64493241425116</c:v>
                </c:pt>
                <c:pt idx="9">
                  <c:v>94.686171173148566</c:v>
                </c:pt>
                <c:pt idx="10">
                  <c:v>67.003427547889885</c:v>
                </c:pt>
                <c:pt idx="11">
                  <c:v>77.050655745142222</c:v>
                </c:pt>
                <c:pt idx="12">
                  <c:v>89.33880887147383</c:v>
                </c:pt>
              </c:numCache>
            </c:numRef>
          </c:val>
        </c:ser>
        <c:ser>
          <c:idx val="9"/>
          <c:order val="9"/>
          <c:tx>
            <c:strRef>
              <c:f>Sheet1!$L$106</c:f>
              <c:strCache>
                <c:ptCount val="1"/>
                <c:pt idx="0">
                  <c:v>%  me 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Sheet1!$B$107:$B$119</c:f>
              <c:strCache>
                <c:ptCount val="13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 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  <c:pt idx="12">
                  <c:v>Totali</c:v>
                </c:pt>
              </c:strCache>
            </c:strRef>
          </c:cat>
          <c:val>
            <c:numRef>
              <c:f>Sheet1!$L$107:$L$119</c:f>
              <c:numCache>
                <c:formatCode>_(* #,##0.00_);_(* \(#,##0.00\);_(* "-"??_);_(@_)</c:formatCode>
                <c:ptCount val="13"/>
                <c:pt idx="0">
                  <c:v>109.38253045544154</c:v>
                </c:pt>
                <c:pt idx="1">
                  <c:v>68.272398751344127</c:v>
                </c:pt>
                <c:pt idx="2">
                  <c:v>179.30811657904641</c:v>
                </c:pt>
                <c:pt idx="3">
                  <c:v>479.14959561096396</c:v>
                </c:pt>
                <c:pt idx="4">
                  <c:v>340.00512441735344</c:v>
                </c:pt>
                <c:pt idx="5">
                  <c:v>118.93099209806223</c:v>
                </c:pt>
                <c:pt idx="6">
                  <c:v>144.56300817830368</c:v>
                </c:pt>
                <c:pt idx="7">
                  <c:v>160.79222947895107</c:v>
                </c:pt>
                <c:pt idx="8">
                  <c:v>178.08726266420189</c:v>
                </c:pt>
                <c:pt idx="9">
                  <c:v>100.54159656453477</c:v>
                </c:pt>
                <c:pt idx="10">
                  <c:v>113.93160910323284</c:v>
                </c:pt>
                <c:pt idx="11">
                  <c:v>78.094894135704934</c:v>
                </c:pt>
                <c:pt idx="12">
                  <c:v>131.90673100509969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5738784"/>
        <c:axId val="1515742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Sheet1!$C$106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Sheet1!$B$107:$B$119</c15:sqref>
                        </c15:formulaRef>
                      </c:ext>
                    </c:extLst>
                    <c:strCache>
                      <c:ptCount val="13"/>
                      <c:pt idx="0">
                        <c:v>Janar</c:v>
                      </c:pt>
                      <c:pt idx="1">
                        <c:v>Shkurt</c:v>
                      </c:pt>
                      <c:pt idx="2">
                        <c:v>Mars</c:v>
                      </c:pt>
                      <c:pt idx="3">
                        <c:v>Prill</c:v>
                      </c:pt>
                      <c:pt idx="4">
                        <c:v>Maj</c:v>
                      </c:pt>
                      <c:pt idx="5">
                        <c:v>Qershor</c:v>
                      </c:pt>
                      <c:pt idx="6">
                        <c:v>Korrik </c:v>
                      </c:pt>
                      <c:pt idx="7">
                        <c:v>Gusht</c:v>
                      </c:pt>
                      <c:pt idx="8">
                        <c:v>Shtator</c:v>
                      </c:pt>
                      <c:pt idx="9">
                        <c:v>Tetor</c:v>
                      </c:pt>
                      <c:pt idx="10">
                        <c:v>Nentor</c:v>
                      </c:pt>
                      <c:pt idx="11">
                        <c:v>Dhjetor</c:v>
                      </c:pt>
                      <c:pt idx="12">
                        <c:v>Totali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Sheet1!$C$107:$C$119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Sheet1!$E$106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Sheet1!$B$107:$B$119</c15:sqref>
                        </c15:formulaRef>
                      </c:ext>
                    </c:extLst>
                    <c:strCache>
                      <c:ptCount val="13"/>
                      <c:pt idx="0">
                        <c:v>Janar</c:v>
                      </c:pt>
                      <c:pt idx="1">
                        <c:v>Shkurt</c:v>
                      </c:pt>
                      <c:pt idx="2">
                        <c:v>Mars</c:v>
                      </c:pt>
                      <c:pt idx="3">
                        <c:v>Prill</c:v>
                      </c:pt>
                      <c:pt idx="4">
                        <c:v>Maj</c:v>
                      </c:pt>
                      <c:pt idx="5">
                        <c:v>Qershor</c:v>
                      </c:pt>
                      <c:pt idx="6">
                        <c:v>Korrik </c:v>
                      </c:pt>
                      <c:pt idx="7">
                        <c:v>Gusht</c:v>
                      </c:pt>
                      <c:pt idx="8">
                        <c:v>Shtator</c:v>
                      </c:pt>
                      <c:pt idx="9">
                        <c:v>Tetor</c:v>
                      </c:pt>
                      <c:pt idx="10">
                        <c:v>Nentor</c:v>
                      </c:pt>
                      <c:pt idx="11">
                        <c:v>Dhjetor</c:v>
                      </c:pt>
                      <c:pt idx="12">
                        <c:v>Totali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Sheet1!$E$107:$E$119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Sheet1!$B$107:$B$119</c15:sqref>
                        </c15:formulaRef>
                      </c:ext>
                    </c:extLst>
                    <c:strCache>
                      <c:ptCount val="13"/>
                      <c:pt idx="0">
                        <c:v>Janar</c:v>
                      </c:pt>
                      <c:pt idx="1">
                        <c:v>Shkurt</c:v>
                      </c:pt>
                      <c:pt idx="2">
                        <c:v>Mars</c:v>
                      </c:pt>
                      <c:pt idx="3">
                        <c:v>Prill</c:v>
                      </c:pt>
                      <c:pt idx="4">
                        <c:v>Maj</c:v>
                      </c:pt>
                      <c:pt idx="5">
                        <c:v>Qershor</c:v>
                      </c:pt>
                      <c:pt idx="6">
                        <c:v>Korrik </c:v>
                      </c:pt>
                      <c:pt idx="7">
                        <c:v>Gusht</c:v>
                      </c:pt>
                      <c:pt idx="8">
                        <c:v>Shtator</c:v>
                      </c:pt>
                      <c:pt idx="9">
                        <c:v>Tetor</c:v>
                      </c:pt>
                      <c:pt idx="10">
                        <c:v>Nentor</c:v>
                      </c:pt>
                      <c:pt idx="11">
                        <c:v>Dhjetor</c:v>
                      </c:pt>
                      <c:pt idx="12">
                        <c:v>Totali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Sheet1!$G$107:$G$119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Sheet1!$I$106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Sheet1!$B$107:$B$119</c15:sqref>
                        </c15:formulaRef>
                      </c:ext>
                    </c:extLst>
                    <c:strCache>
                      <c:ptCount val="13"/>
                      <c:pt idx="0">
                        <c:v>Janar</c:v>
                      </c:pt>
                      <c:pt idx="1">
                        <c:v>Shkurt</c:v>
                      </c:pt>
                      <c:pt idx="2">
                        <c:v>Mars</c:v>
                      </c:pt>
                      <c:pt idx="3">
                        <c:v>Prill</c:v>
                      </c:pt>
                      <c:pt idx="4">
                        <c:v>Maj</c:v>
                      </c:pt>
                      <c:pt idx="5">
                        <c:v>Qershor</c:v>
                      </c:pt>
                      <c:pt idx="6">
                        <c:v>Korrik </c:v>
                      </c:pt>
                      <c:pt idx="7">
                        <c:v>Gusht</c:v>
                      </c:pt>
                      <c:pt idx="8">
                        <c:v>Shtator</c:v>
                      </c:pt>
                      <c:pt idx="9">
                        <c:v>Tetor</c:v>
                      </c:pt>
                      <c:pt idx="10">
                        <c:v>Nentor</c:v>
                      </c:pt>
                      <c:pt idx="11">
                        <c:v>Dhjetor</c:v>
                      </c:pt>
                      <c:pt idx="12">
                        <c:v>Totali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Sheet1!$I$107:$I$119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Sheet1!$K$106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Sheet1!$B$107:$B$119</c15:sqref>
                        </c15:formulaRef>
                      </c:ext>
                    </c:extLst>
                    <c:strCache>
                      <c:ptCount val="13"/>
                      <c:pt idx="0">
                        <c:v>Janar</c:v>
                      </c:pt>
                      <c:pt idx="1">
                        <c:v>Shkurt</c:v>
                      </c:pt>
                      <c:pt idx="2">
                        <c:v>Mars</c:v>
                      </c:pt>
                      <c:pt idx="3">
                        <c:v>Prill</c:v>
                      </c:pt>
                      <c:pt idx="4">
                        <c:v>Maj</c:v>
                      </c:pt>
                      <c:pt idx="5">
                        <c:v>Qershor</c:v>
                      </c:pt>
                      <c:pt idx="6">
                        <c:v>Korrik </c:v>
                      </c:pt>
                      <c:pt idx="7">
                        <c:v>Gusht</c:v>
                      </c:pt>
                      <c:pt idx="8">
                        <c:v>Shtator</c:v>
                      </c:pt>
                      <c:pt idx="9">
                        <c:v>Tetor</c:v>
                      </c:pt>
                      <c:pt idx="10">
                        <c:v>Nentor</c:v>
                      </c:pt>
                      <c:pt idx="11">
                        <c:v>Dhjetor</c:v>
                      </c:pt>
                      <c:pt idx="12">
                        <c:v>Totali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Sheet1!$K$107:$K$119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</c15:ser>
            </c15:filteredBarSeries>
          </c:ext>
        </c:extLst>
      </c:barChart>
      <c:catAx>
        <c:axId val="151573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742592"/>
        <c:crosses val="autoZero"/>
        <c:auto val="1"/>
        <c:lblAlgn val="ctr"/>
        <c:lblOffset val="100"/>
        <c:noMultiLvlLbl val="0"/>
      </c:catAx>
      <c:valAx>
        <c:axId val="151574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73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57150</xdr:rowOff>
    </xdr:from>
    <xdr:to>
      <xdr:col>2</xdr:col>
      <xdr:colOff>352425</xdr:colOff>
      <xdr:row>5</xdr:row>
      <xdr:rowOff>66675</xdr:rowOff>
    </xdr:to>
    <xdr:pic>
      <xdr:nvPicPr>
        <xdr:cNvPr id="2" name="Picture 2" descr="Stema%20(100px)[1]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257175"/>
          <a:ext cx="11620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295275</xdr:colOff>
          <xdr:row>1</xdr:row>
          <xdr:rowOff>66675</xdr:rowOff>
        </xdr:from>
        <xdr:to>
          <xdr:col>13</xdr:col>
          <xdr:colOff>571500</xdr:colOff>
          <xdr:row>5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371475</xdr:colOff>
      <xdr:row>396</xdr:row>
      <xdr:rowOff>90487</xdr:rowOff>
    </xdr:from>
    <xdr:to>
      <xdr:col>14</xdr:col>
      <xdr:colOff>0</xdr:colOff>
      <xdr:row>409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333375</xdr:colOff>
      <xdr:row>141</xdr:row>
      <xdr:rowOff>14287</xdr:rowOff>
    </xdr:from>
    <xdr:to>
      <xdr:col>13</xdr:col>
      <xdr:colOff>190500</xdr:colOff>
      <xdr:row>151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12"/>
  <sheetViews>
    <sheetView tabSelected="1" topLeftCell="A284" workbookViewId="0">
      <selection activeCell="Q400" sqref="Q400"/>
    </sheetView>
  </sheetViews>
  <sheetFormatPr defaultRowHeight="15" x14ac:dyDescent="0.25"/>
  <cols>
    <col min="1" max="1" width="7" customWidth="1"/>
    <col min="2" max="2" width="9" customWidth="1"/>
    <col min="3" max="3" width="13.140625" customWidth="1"/>
    <col min="4" max="4" width="7.140625" customWidth="1"/>
    <col min="5" max="5" width="7.7109375" customWidth="1"/>
    <col min="6" max="6" width="9.42578125" customWidth="1"/>
    <col min="7" max="7" width="6.28515625" customWidth="1"/>
    <col min="8" max="8" width="7.85546875" customWidth="1"/>
    <col min="9" max="9" width="6.42578125" customWidth="1"/>
    <col min="10" max="10" width="8.28515625" customWidth="1"/>
    <col min="11" max="11" width="6.140625" customWidth="1"/>
    <col min="12" max="13" width="14.28515625" customWidth="1"/>
    <col min="14" max="14" width="15" customWidth="1"/>
    <col min="15" max="15" width="15.7109375" customWidth="1"/>
    <col min="16" max="16" width="13.7109375" customWidth="1"/>
    <col min="17" max="17" width="14.28515625" bestFit="1" customWidth="1"/>
    <col min="18" max="18" width="13.28515625" bestFit="1" customWidth="1"/>
    <col min="19" max="19" width="14.28515625" bestFit="1" customWidth="1"/>
    <col min="20" max="21" width="13.28515625" bestFit="1" customWidth="1"/>
    <col min="22" max="22" width="14.7109375" customWidth="1"/>
    <col min="23" max="23" width="13.28515625" customWidth="1"/>
    <col min="24" max="24" width="13.28515625" bestFit="1" customWidth="1"/>
    <col min="25" max="25" width="13.85546875" customWidth="1"/>
  </cols>
  <sheetData>
    <row r="1" spans="1:15" ht="15.75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</row>
    <row r="2" spans="1:15" ht="15.75" x14ac:dyDescent="0.25">
      <c r="A2" s="1"/>
      <c r="B2" s="2"/>
      <c r="C2" s="2"/>
      <c r="D2" s="213"/>
      <c r="E2" s="213"/>
      <c r="F2" s="213"/>
      <c r="G2" s="213"/>
      <c r="H2" s="213"/>
      <c r="I2" s="2"/>
      <c r="J2" s="3"/>
      <c r="K2" s="3"/>
      <c r="L2" s="3"/>
      <c r="M2" s="3"/>
      <c r="N2" s="3"/>
      <c r="O2" s="3"/>
    </row>
    <row r="3" spans="1:15" ht="21" x14ac:dyDescent="0.25">
      <c r="A3" s="1"/>
      <c r="B3" s="1"/>
      <c r="C3" s="214" t="s">
        <v>0</v>
      </c>
      <c r="D3" s="214"/>
      <c r="E3" s="214"/>
      <c r="F3" s="214"/>
      <c r="G3" s="214"/>
      <c r="H3" s="214"/>
      <c r="I3" s="214"/>
      <c r="J3" s="214"/>
      <c r="K3" s="5"/>
      <c r="L3" s="5"/>
      <c r="M3" s="5"/>
      <c r="N3" s="5"/>
      <c r="O3" s="3"/>
    </row>
    <row r="4" spans="1:15" ht="20.25" x14ac:dyDescent="0.25">
      <c r="A4" s="1"/>
      <c r="B4" s="1"/>
      <c r="C4" s="215" t="s">
        <v>129</v>
      </c>
      <c r="D4" s="215"/>
      <c r="E4" s="215"/>
      <c r="F4" s="215"/>
      <c r="G4" s="215"/>
      <c r="H4" s="215"/>
      <c r="I4" s="215"/>
      <c r="J4" s="215"/>
      <c r="K4" s="6"/>
      <c r="L4" s="6"/>
      <c r="M4" s="6"/>
      <c r="N4" s="6"/>
      <c r="O4" s="3"/>
    </row>
    <row r="5" spans="1:15" ht="21" x14ac:dyDescent="0.25">
      <c r="A5" s="3"/>
      <c r="B5" s="3"/>
      <c r="C5" s="214" t="s">
        <v>130</v>
      </c>
      <c r="D5" s="214"/>
      <c r="E5" s="214"/>
      <c r="F5" s="214"/>
      <c r="G5" s="214"/>
      <c r="H5" s="214"/>
      <c r="I5" s="214"/>
      <c r="J5" s="214"/>
      <c r="K5" s="5"/>
      <c r="L5" s="5"/>
      <c r="M5" s="5"/>
      <c r="N5" s="5"/>
      <c r="O5" s="3"/>
    </row>
    <row r="6" spans="1:15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4"/>
      <c r="C12" s="4"/>
      <c r="D12" s="4"/>
      <c r="E12" s="4"/>
      <c r="F12" s="4"/>
      <c r="G12" s="4"/>
      <c r="H12" s="4"/>
      <c r="I12" s="4"/>
      <c r="J12" s="3"/>
      <c r="K12" s="3"/>
      <c r="L12" s="3"/>
      <c r="M12" s="3"/>
      <c r="N12" s="3"/>
      <c r="O12" s="3"/>
    </row>
    <row r="13" spans="1:15" ht="15.75" x14ac:dyDescent="0.25">
      <c r="A13" s="3"/>
      <c r="B13" s="4"/>
      <c r="C13" s="4"/>
      <c r="D13" s="4"/>
      <c r="E13" s="4"/>
      <c r="F13" s="4"/>
      <c r="G13" s="4"/>
      <c r="H13" s="4"/>
      <c r="I13" s="4"/>
      <c r="J13" s="3"/>
      <c r="K13" s="3"/>
      <c r="L13" s="3"/>
      <c r="M13" s="3"/>
      <c r="N13" s="3"/>
      <c r="O13" s="3"/>
    </row>
    <row r="14" spans="1:15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23.25" x14ac:dyDescent="0.25">
      <c r="A15" s="3"/>
      <c r="B15" s="4"/>
      <c r="C15" s="216" t="s">
        <v>1</v>
      </c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9"/>
      <c r="O15" s="3"/>
    </row>
    <row r="16" spans="1:15" ht="23.25" x14ac:dyDescent="0.25">
      <c r="A16" s="3"/>
      <c r="B16" s="3"/>
      <c r="C16" s="216" t="s">
        <v>180</v>
      </c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30"/>
      <c r="O16" s="3"/>
    </row>
    <row r="17" spans="1:15" ht="18.75" x14ac:dyDescent="0.25">
      <c r="A17" s="3"/>
      <c r="B17" s="3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"/>
    </row>
    <row r="18" spans="1:15" ht="15.75" x14ac:dyDescent="0.25">
      <c r="A18" s="3"/>
      <c r="B18" s="3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"/>
    </row>
    <row r="19" spans="1:1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x14ac:dyDescent="0.25">
      <c r="A22" s="3"/>
      <c r="B22" s="5"/>
      <c r="C22" s="5"/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1:1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x14ac:dyDescent="0.25">
      <c r="A24" s="3"/>
      <c r="B24" s="5"/>
      <c r="C24" s="5"/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1:1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21" x14ac:dyDescent="0.3">
      <c r="A29" s="5"/>
      <c r="B29" s="5"/>
      <c r="C29" s="242" t="s">
        <v>181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42"/>
      <c r="O29" s="5"/>
    </row>
    <row r="30" spans="1:15" ht="23.25" x14ac:dyDescent="0.25">
      <c r="A30" s="3"/>
      <c r="B30" s="3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2"/>
      <c r="O30" s="3"/>
    </row>
    <row r="31" spans="1:15" ht="15.75" x14ac:dyDescent="0.25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/>
    </row>
    <row r="32" spans="1:15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8.75" x14ac:dyDescent="0.3">
      <c r="A33" s="8"/>
      <c r="B33" s="211" t="s">
        <v>2</v>
      </c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44"/>
      <c r="O33" s="7"/>
    </row>
    <row r="34" spans="1:15" ht="15.7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5.75" x14ac:dyDescent="0.25">
      <c r="A35" s="7" t="s">
        <v>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5.75" x14ac:dyDescent="0.25">
      <c r="A36" s="7" t="s">
        <v>170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.75" x14ac:dyDescent="0.25">
      <c r="A37" s="7" t="s">
        <v>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5.75" x14ac:dyDescent="0.25">
      <c r="A38" s="7" t="s">
        <v>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5.75" x14ac:dyDescent="0.25">
      <c r="A40" s="7" t="s">
        <v>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7" t="s">
        <v>182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x14ac:dyDescent="0.25">
      <c r="A42" s="7" t="s">
        <v>183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5.75" x14ac:dyDescent="0.25">
      <c r="A43" s="7" t="s">
        <v>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75" x14ac:dyDescent="0.25">
      <c r="A44" s="7" t="s">
        <v>8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5.75" x14ac:dyDescent="0.25">
      <c r="A45" s="7" t="s">
        <v>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5.75" x14ac:dyDescent="0.25">
      <c r="A46" s="7" t="s">
        <v>102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5.7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5.75" x14ac:dyDescent="0.25">
      <c r="A48" s="9" t="s">
        <v>10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5.75" x14ac:dyDescent="0.25">
      <c r="A49" s="7" t="s">
        <v>173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5.75" x14ac:dyDescent="0.25">
      <c r="A50" s="7" t="s">
        <v>171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5.75" x14ac:dyDescent="0.25">
      <c r="A51" s="7" t="s">
        <v>11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5.7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5.75" x14ac:dyDescent="0.25">
      <c r="A53" s="7" t="s">
        <v>12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5.75" x14ac:dyDescent="0.25">
      <c r="A54" s="7" t="s">
        <v>13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7" t="s">
        <v>14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5.7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5.75" x14ac:dyDescent="0.25">
      <c r="A57" s="7" t="s">
        <v>15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75" x14ac:dyDescent="0.25">
      <c r="A58" s="7" t="s">
        <v>184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5.75" x14ac:dyDescent="0.25">
      <c r="A59" s="7" t="s">
        <v>16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5.7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5.75" x14ac:dyDescent="0.25">
      <c r="A61" s="8" t="s">
        <v>17</v>
      </c>
      <c r="B61" s="8"/>
      <c r="C61" s="8"/>
      <c r="D61" s="8"/>
      <c r="E61" s="8"/>
      <c r="F61" s="8"/>
      <c r="G61" s="8"/>
      <c r="H61" s="8"/>
      <c r="I61" s="7"/>
      <c r="J61" s="7"/>
      <c r="K61" s="7"/>
      <c r="L61" s="7"/>
      <c r="M61" s="7"/>
      <c r="N61" s="7"/>
      <c r="O61" s="7"/>
    </row>
    <row r="62" spans="1:15" ht="15.75" x14ac:dyDescent="0.25">
      <c r="A62" s="8"/>
      <c r="B62" s="8"/>
      <c r="C62" s="8"/>
      <c r="D62" s="8"/>
      <c r="E62" s="8"/>
      <c r="F62" s="8"/>
      <c r="G62" s="8"/>
      <c r="H62" s="8"/>
      <c r="I62" s="7"/>
      <c r="J62" s="7"/>
      <c r="K62" s="7"/>
      <c r="L62" s="7"/>
      <c r="M62" s="7"/>
      <c r="N62" s="7"/>
      <c r="O62" s="7"/>
    </row>
    <row r="63" spans="1:15" ht="15.75" x14ac:dyDescent="0.25">
      <c r="A63" s="8" t="s">
        <v>172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x14ac:dyDescent="0.25">
      <c r="A64" s="8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6" ht="15.75" x14ac:dyDescent="0.25">
      <c r="A65" s="8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2">
        <v>1</v>
      </c>
      <c r="P65" s="31"/>
    </row>
    <row r="66" spans="1:16" ht="15.75" x14ac:dyDescent="0.25">
      <c r="A66" s="8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2"/>
      <c r="P66" s="31"/>
    </row>
    <row r="67" spans="1:16" ht="15.75" x14ac:dyDescent="0.25">
      <c r="A67" s="8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2"/>
      <c r="P67" s="31"/>
    </row>
    <row r="68" spans="1:16" ht="15.75" x14ac:dyDescent="0.25">
      <c r="A68" s="8" t="s">
        <v>18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6" ht="15.75" x14ac:dyDescent="0.25">
      <c r="A69" s="212" t="s">
        <v>19</v>
      </c>
      <c r="B69" s="212"/>
      <c r="C69" s="212" t="s">
        <v>20</v>
      </c>
      <c r="D69" s="212"/>
      <c r="E69" s="212" t="s">
        <v>21</v>
      </c>
      <c r="F69" s="212"/>
      <c r="G69" s="212" t="s">
        <v>22</v>
      </c>
      <c r="H69" s="212"/>
      <c r="I69" s="212" t="s">
        <v>23</v>
      </c>
      <c r="J69" s="212"/>
      <c r="K69" s="212" t="s">
        <v>24</v>
      </c>
      <c r="L69" s="212"/>
      <c r="M69" s="10" t="s">
        <v>25</v>
      </c>
      <c r="N69" s="10" t="s">
        <v>140</v>
      </c>
      <c r="O69" s="77"/>
    </row>
    <row r="70" spans="1:16" ht="15.75" x14ac:dyDescent="0.25">
      <c r="A70" s="208" t="s">
        <v>26</v>
      </c>
      <c r="B70" s="208"/>
      <c r="C70" s="145">
        <v>292170</v>
      </c>
      <c r="D70" s="146"/>
      <c r="E70" s="145">
        <v>156956</v>
      </c>
      <c r="F70" s="146"/>
      <c r="G70" s="145">
        <v>129214</v>
      </c>
      <c r="H70" s="146"/>
      <c r="I70" s="145">
        <v>0</v>
      </c>
      <c r="J70" s="146"/>
      <c r="K70" s="145">
        <v>6000</v>
      </c>
      <c r="L70" s="146"/>
      <c r="M70" s="11">
        <v>0</v>
      </c>
      <c r="N70" s="80">
        <v>19</v>
      </c>
      <c r="O70" s="78"/>
    </row>
    <row r="71" spans="1:16" ht="15.75" x14ac:dyDescent="0.25">
      <c r="A71" s="208" t="s">
        <v>27</v>
      </c>
      <c r="B71" s="208"/>
      <c r="C71" s="145">
        <v>537155</v>
      </c>
      <c r="D71" s="146"/>
      <c r="E71" s="145">
        <v>235055</v>
      </c>
      <c r="F71" s="146"/>
      <c r="G71" s="145">
        <v>139100</v>
      </c>
      <c r="H71" s="146"/>
      <c r="I71" s="145"/>
      <c r="J71" s="146"/>
      <c r="K71" s="145"/>
      <c r="L71" s="146"/>
      <c r="M71" s="11">
        <v>163000</v>
      </c>
      <c r="N71" s="80">
        <v>42</v>
      </c>
      <c r="O71" s="78"/>
    </row>
    <row r="72" spans="1:16" ht="15.75" x14ac:dyDescent="0.25">
      <c r="A72" s="208" t="s">
        <v>28</v>
      </c>
      <c r="B72" s="208"/>
      <c r="C72" s="145">
        <f>E72+G72+I72+K72+M72</f>
        <v>109844</v>
      </c>
      <c r="D72" s="146"/>
      <c r="E72" s="145">
        <v>72329</v>
      </c>
      <c r="F72" s="146"/>
      <c r="G72" s="145">
        <v>37515</v>
      </c>
      <c r="H72" s="146"/>
      <c r="I72" s="145"/>
      <c r="J72" s="146"/>
      <c r="K72" s="145"/>
      <c r="L72" s="146"/>
      <c r="M72" s="11"/>
      <c r="N72" s="80">
        <v>11</v>
      </c>
      <c r="O72" s="78"/>
    </row>
    <row r="73" spans="1:16" ht="15.75" x14ac:dyDescent="0.25">
      <c r="A73" s="208" t="s">
        <v>29</v>
      </c>
      <c r="B73" s="208"/>
      <c r="C73" s="145">
        <f t="shared" ref="C73:C88" si="0">E73+G73+I73+K73+M73</f>
        <v>147965</v>
      </c>
      <c r="D73" s="146"/>
      <c r="E73" s="145">
        <v>109465</v>
      </c>
      <c r="F73" s="146"/>
      <c r="G73" s="145">
        <v>38500</v>
      </c>
      <c r="H73" s="146"/>
      <c r="I73" s="145"/>
      <c r="J73" s="146"/>
      <c r="K73" s="145"/>
      <c r="L73" s="146"/>
      <c r="M73" s="11"/>
      <c r="N73" s="80"/>
      <c r="O73" s="79"/>
    </row>
    <row r="74" spans="1:16" ht="15.75" x14ac:dyDescent="0.25">
      <c r="A74" s="208" t="s">
        <v>30</v>
      </c>
      <c r="B74" s="208"/>
      <c r="C74" s="145">
        <f t="shared" si="0"/>
        <v>122265</v>
      </c>
      <c r="D74" s="146"/>
      <c r="E74" s="145">
        <v>103865</v>
      </c>
      <c r="F74" s="146"/>
      <c r="G74" s="145">
        <v>18400</v>
      </c>
      <c r="H74" s="146"/>
      <c r="I74" s="145"/>
      <c r="J74" s="146"/>
      <c r="K74" s="145"/>
      <c r="L74" s="146"/>
      <c r="M74" s="11"/>
      <c r="N74" s="80">
        <v>16</v>
      </c>
      <c r="O74" s="78"/>
    </row>
    <row r="75" spans="1:16" ht="15.75" x14ac:dyDescent="0.25">
      <c r="A75" s="208" t="s">
        <v>31</v>
      </c>
      <c r="B75" s="208"/>
      <c r="C75" s="145">
        <f t="shared" si="0"/>
        <v>781959</v>
      </c>
      <c r="D75" s="146"/>
      <c r="E75" s="145">
        <v>173363</v>
      </c>
      <c r="F75" s="146"/>
      <c r="G75" s="145">
        <v>282596</v>
      </c>
      <c r="H75" s="146"/>
      <c r="I75" s="145">
        <v>90000</v>
      </c>
      <c r="J75" s="146"/>
      <c r="K75" s="145">
        <v>90000</v>
      </c>
      <c r="L75" s="146"/>
      <c r="M75" s="11">
        <v>146000</v>
      </c>
      <c r="N75" s="80">
        <v>25</v>
      </c>
      <c r="O75" s="78"/>
    </row>
    <row r="76" spans="1:16" ht="15.75" x14ac:dyDescent="0.25">
      <c r="A76" s="82" t="s">
        <v>44</v>
      </c>
      <c r="B76" s="82"/>
      <c r="C76" s="145">
        <f t="shared" si="0"/>
        <v>2409140</v>
      </c>
      <c r="D76" s="146"/>
      <c r="E76" s="145">
        <v>47801</v>
      </c>
      <c r="F76" s="146"/>
      <c r="G76" s="145">
        <v>25750</v>
      </c>
      <c r="H76" s="146"/>
      <c r="I76" s="145"/>
      <c r="J76" s="146"/>
      <c r="K76" s="145"/>
      <c r="L76" s="146"/>
      <c r="M76" s="28">
        <v>2335589</v>
      </c>
      <c r="N76" s="81">
        <v>8</v>
      </c>
      <c r="O76" s="78"/>
    </row>
    <row r="77" spans="1:16" ht="15.75" x14ac:dyDescent="0.25">
      <c r="A77" s="208" t="s">
        <v>32</v>
      </c>
      <c r="B77" s="208"/>
      <c r="C77" s="145">
        <f t="shared" si="0"/>
        <v>8673</v>
      </c>
      <c r="D77" s="146"/>
      <c r="E77" s="145">
        <v>7983</v>
      </c>
      <c r="F77" s="146"/>
      <c r="G77" s="145">
        <v>690</v>
      </c>
      <c r="H77" s="146"/>
      <c r="I77" s="145"/>
      <c r="J77" s="146"/>
      <c r="K77" s="145"/>
      <c r="L77" s="146"/>
      <c r="M77" s="11"/>
      <c r="N77" s="80">
        <v>1</v>
      </c>
      <c r="O77" s="78"/>
    </row>
    <row r="78" spans="1:16" ht="15.75" x14ac:dyDescent="0.25">
      <c r="A78" s="208" t="s">
        <v>33</v>
      </c>
      <c r="B78" s="208"/>
      <c r="C78" s="145">
        <f t="shared" si="0"/>
        <v>128957</v>
      </c>
      <c r="D78" s="146"/>
      <c r="E78" s="145">
        <v>73217</v>
      </c>
      <c r="F78" s="146"/>
      <c r="G78" s="145">
        <v>11740</v>
      </c>
      <c r="H78" s="146"/>
      <c r="I78" s="145"/>
      <c r="J78" s="146"/>
      <c r="K78" s="145">
        <v>44000</v>
      </c>
      <c r="L78" s="146"/>
      <c r="M78" s="11"/>
      <c r="N78" s="80">
        <v>13</v>
      </c>
      <c r="O78" s="78"/>
    </row>
    <row r="79" spans="1:16" ht="15.75" x14ac:dyDescent="0.25">
      <c r="A79" s="209" t="s">
        <v>45</v>
      </c>
      <c r="B79" s="210"/>
      <c r="C79" s="145">
        <f t="shared" si="0"/>
        <v>94539</v>
      </c>
      <c r="D79" s="146"/>
      <c r="E79" s="145">
        <v>48789</v>
      </c>
      <c r="F79" s="146"/>
      <c r="G79" s="145">
        <v>25750</v>
      </c>
      <c r="H79" s="146"/>
      <c r="I79" s="145"/>
      <c r="J79" s="146"/>
      <c r="K79" s="145">
        <v>20000</v>
      </c>
      <c r="L79" s="146"/>
      <c r="M79" s="11"/>
      <c r="N79" s="80" t="s">
        <v>141</v>
      </c>
      <c r="O79" s="78"/>
    </row>
    <row r="80" spans="1:16" ht="15.75" x14ac:dyDescent="0.25">
      <c r="A80" s="208" t="s">
        <v>34</v>
      </c>
      <c r="B80" s="208"/>
      <c r="C80" s="145">
        <f t="shared" si="0"/>
        <v>493990</v>
      </c>
      <c r="D80" s="146"/>
      <c r="E80" s="145">
        <v>83440</v>
      </c>
      <c r="F80" s="146"/>
      <c r="G80" s="145">
        <v>10550</v>
      </c>
      <c r="H80" s="146"/>
      <c r="I80" s="145"/>
      <c r="J80" s="146"/>
      <c r="K80" s="145"/>
      <c r="L80" s="146"/>
      <c r="M80" s="11">
        <v>400000</v>
      </c>
      <c r="N80" s="80" t="s">
        <v>142</v>
      </c>
      <c r="O80" s="78"/>
    </row>
    <row r="81" spans="1:16" ht="15.75" x14ac:dyDescent="0.25">
      <c r="A81" s="208" t="s">
        <v>35</v>
      </c>
      <c r="B81" s="208"/>
      <c r="C81" s="145">
        <f t="shared" si="0"/>
        <v>106796</v>
      </c>
      <c r="D81" s="146"/>
      <c r="E81" s="145">
        <v>48379</v>
      </c>
      <c r="F81" s="146"/>
      <c r="G81" s="145">
        <v>18417</v>
      </c>
      <c r="H81" s="146"/>
      <c r="I81" s="145"/>
      <c r="J81" s="146"/>
      <c r="K81" s="145"/>
      <c r="L81" s="146"/>
      <c r="M81" s="11">
        <v>40000</v>
      </c>
      <c r="N81" s="80" t="s">
        <v>141</v>
      </c>
      <c r="O81" s="78"/>
    </row>
    <row r="82" spans="1:16" ht="15.75" x14ac:dyDescent="0.25">
      <c r="A82" s="208" t="s">
        <v>36</v>
      </c>
      <c r="B82" s="208"/>
      <c r="C82" s="145">
        <f t="shared" si="0"/>
        <v>114175</v>
      </c>
      <c r="D82" s="146"/>
      <c r="E82" s="145">
        <v>36837</v>
      </c>
      <c r="F82" s="146"/>
      <c r="G82" s="145">
        <v>52338</v>
      </c>
      <c r="H82" s="146"/>
      <c r="I82" s="145"/>
      <c r="J82" s="146"/>
      <c r="K82" s="145">
        <v>25000</v>
      </c>
      <c r="L82" s="146"/>
      <c r="M82" s="11"/>
      <c r="N82" s="80" t="s">
        <v>143</v>
      </c>
      <c r="O82" s="78"/>
    </row>
    <row r="83" spans="1:16" ht="15.75" x14ac:dyDescent="0.25">
      <c r="A83" s="208" t="s">
        <v>37</v>
      </c>
      <c r="B83" s="208"/>
      <c r="C83" s="145">
        <f t="shared" si="0"/>
        <v>2034614</v>
      </c>
      <c r="D83" s="146"/>
      <c r="E83" s="145">
        <v>1300143</v>
      </c>
      <c r="F83" s="146"/>
      <c r="G83" s="145">
        <v>352614</v>
      </c>
      <c r="H83" s="146"/>
      <c r="I83" s="145">
        <v>48000</v>
      </c>
      <c r="J83" s="146"/>
      <c r="K83" s="145"/>
      <c r="L83" s="146"/>
      <c r="M83" s="11">
        <v>333857</v>
      </c>
      <c r="N83" s="80" t="s">
        <v>144</v>
      </c>
      <c r="O83" s="78"/>
    </row>
    <row r="84" spans="1:16" ht="15.75" x14ac:dyDescent="0.25">
      <c r="A84" s="208" t="s">
        <v>38</v>
      </c>
      <c r="B84" s="208"/>
      <c r="C84" s="145">
        <f t="shared" si="0"/>
        <v>115043</v>
      </c>
      <c r="D84" s="146"/>
      <c r="E84" s="145">
        <v>92379</v>
      </c>
      <c r="F84" s="146"/>
      <c r="G84" s="145">
        <v>16713</v>
      </c>
      <c r="H84" s="146"/>
      <c r="I84" s="145">
        <v>5951</v>
      </c>
      <c r="J84" s="146"/>
      <c r="K84" s="145"/>
      <c r="L84" s="146"/>
      <c r="M84" s="11"/>
      <c r="N84" s="80" t="s">
        <v>145</v>
      </c>
      <c r="O84" s="78"/>
    </row>
    <row r="85" spans="1:16" ht="15.75" x14ac:dyDescent="0.25">
      <c r="A85" s="208" t="s">
        <v>39</v>
      </c>
      <c r="B85" s="208"/>
      <c r="C85" s="145">
        <f t="shared" si="0"/>
        <v>475767</v>
      </c>
      <c r="D85" s="146"/>
      <c r="E85" s="145">
        <v>76318</v>
      </c>
      <c r="F85" s="146"/>
      <c r="G85" s="145">
        <v>49449</v>
      </c>
      <c r="H85" s="146"/>
      <c r="I85" s="145"/>
      <c r="J85" s="146"/>
      <c r="K85" s="145">
        <v>105000</v>
      </c>
      <c r="L85" s="146"/>
      <c r="M85" s="11">
        <v>245000</v>
      </c>
      <c r="N85" s="80" t="s">
        <v>142</v>
      </c>
      <c r="O85" s="78"/>
    </row>
    <row r="86" spans="1:16" ht="15.75" x14ac:dyDescent="0.25">
      <c r="A86" s="208" t="s">
        <v>40</v>
      </c>
      <c r="B86" s="208"/>
      <c r="C86" s="145">
        <f t="shared" si="0"/>
        <v>806478</v>
      </c>
      <c r="D86" s="146"/>
      <c r="E86" s="145">
        <v>76212</v>
      </c>
      <c r="F86" s="146"/>
      <c r="G86" s="145">
        <v>315266</v>
      </c>
      <c r="H86" s="146"/>
      <c r="I86" s="145"/>
      <c r="J86" s="146"/>
      <c r="K86" s="145">
        <v>80000</v>
      </c>
      <c r="L86" s="146"/>
      <c r="M86" s="11">
        <v>335000</v>
      </c>
      <c r="N86" s="80" t="s">
        <v>146</v>
      </c>
      <c r="O86" s="78"/>
    </row>
    <row r="87" spans="1:16" ht="15.75" x14ac:dyDescent="0.25">
      <c r="A87" s="208" t="s">
        <v>41</v>
      </c>
      <c r="B87" s="208"/>
      <c r="C87" s="145">
        <f t="shared" si="0"/>
        <v>171217</v>
      </c>
      <c r="D87" s="146"/>
      <c r="E87" s="145">
        <v>118615</v>
      </c>
      <c r="F87" s="146"/>
      <c r="G87" s="145">
        <v>46482</v>
      </c>
      <c r="H87" s="146"/>
      <c r="I87" s="145">
        <v>6120</v>
      </c>
      <c r="J87" s="146"/>
      <c r="K87" s="145"/>
      <c r="L87" s="146"/>
      <c r="M87" s="11"/>
      <c r="N87" s="80" t="s">
        <v>147</v>
      </c>
      <c r="O87" s="78"/>
    </row>
    <row r="88" spans="1:16" ht="15.75" x14ac:dyDescent="0.25">
      <c r="A88" s="208" t="s">
        <v>42</v>
      </c>
      <c r="B88" s="208"/>
      <c r="C88" s="145">
        <f t="shared" si="0"/>
        <v>4931473</v>
      </c>
      <c r="D88" s="146"/>
      <c r="E88" s="145">
        <v>4548372</v>
      </c>
      <c r="F88" s="146"/>
      <c r="G88" s="145">
        <v>321789</v>
      </c>
      <c r="H88" s="146"/>
      <c r="I88" s="145">
        <v>61312</v>
      </c>
      <c r="J88" s="146"/>
      <c r="K88" s="145"/>
      <c r="L88" s="146"/>
      <c r="M88" s="11"/>
      <c r="N88" s="83" t="s">
        <v>148</v>
      </c>
      <c r="O88" s="78"/>
    </row>
    <row r="89" spans="1:16" ht="15.75" x14ac:dyDescent="0.25">
      <c r="A89" s="208" t="s">
        <v>43</v>
      </c>
      <c r="B89" s="208"/>
      <c r="C89" s="145">
        <f t="shared" ref="C89" si="1">E89+G89+I89+K89+M89</f>
        <v>1407114</v>
      </c>
      <c r="D89" s="146"/>
      <c r="E89" s="145">
        <v>1290482</v>
      </c>
      <c r="F89" s="146"/>
      <c r="G89" s="145">
        <v>95507</v>
      </c>
      <c r="H89" s="146"/>
      <c r="I89" s="145">
        <v>21125</v>
      </c>
      <c r="J89" s="146"/>
      <c r="K89" s="145"/>
      <c r="L89" s="146"/>
      <c r="M89" s="11"/>
      <c r="N89" s="83" t="s">
        <v>149</v>
      </c>
      <c r="O89" s="78"/>
    </row>
    <row r="90" spans="1:16" ht="15.75" x14ac:dyDescent="0.25">
      <c r="A90" s="148" t="s">
        <v>215</v>
      </c>
      <c r="B90" s="149"/>
      <c r="C90" s="145"/>
      <c r="D90" s="146"/>
      <c r="E90" s="145"/>
      <c r="F90" s="146"/>
      <c r="G90" s="145"/>
      <c r="H90" s="146"/>
      <c r="I90" s="145"/>
      <c r="J90" s="146"/>
      <c r="K90" s="145"/>
      <c r="L90" s="146"/>
      <c r="M90" s="11">
        <v>110000</v>
      </c>
      <c r="N90" s="83"/>
      <c r="O90" s="78"/>
    </row>
    <row r="91" spans="1:16" ht="15.75" x14ac:dyDescent="0.25">
      <c r="A91" s="205"/>
      <c r="B91" s="205"/>
      <c r="C91" s="206">
        <f>SUM(C70:C89)</f>
        <v>15289334</v>
      </c>
      <c r="D91" s="207"/>
      <c r="E91" s="206">
        <f>SUM(E70:E89)</f>
        <v>8700000</v>
      </c>
      <c r="F91" s="207"/>
      <c r="G91" s="206">
        <f>SUM(G70:G89)</f>
        <v>1988380</v>
      </c>
      <c r="H91" s="207"/>
      <c r="I91" s="206">
        <f>SUM(I70:I89)</f>
        <v>232508</v>
      </c>
      <c r="J91" s="207"/>
      <c r="K91" s="206">
        <f>SUM(K70:K89)</f>
        <v>370000</v>
      </c>
      <c r="L91" s="207"/>
      <c r="M91" s="27">
        <f>SUM(M70:M90)</f>
        <v>4108446</v>
      </c>
      <c r="N91" s="84">
        <v>1325</v>
      </c>
      <c r="O91" s="78"/>
    </row>
    <row r="93" spans="1:16" ht="15.7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6" ht="15.7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6" ht="15.75" x14ac:dyDescent="0.25">
      <c r="A95" s="7" t="s">
        <v>46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31"/>
    </row>
    <row r="96" spans="1:16" ht="15.75" x14ac:dyDescent="0.25">
      <c r="A96" s="7" t="s">
        <v>174</v>
      </c>
      <c r="B96" s="7"/>
      <c r="C96" s="7"/>
      <c r="D96" s="7"/>
      <c r="E96" s="7"/>
      <c r="F96" s="7"/>
      <c r="G96" s="7"/>
      <c r="H96" s="7"/>
      <c r="I96" s="7"/>
      <c r="J96" s="7"/>
    </row>
    <row r="102" spans="1:24" x14ac:dyDescent="0.25">
      <c r="O102" s="63">
        <v>2</v>
      </c>
    </row>
    <row r="103" spans="1:24" x14ac:dyDescent="0.25">
      <c r="O103" s="31"/>
    </row>
    <row r="104" spans="1:24" ht="15.75" x14ac:dyDescent="0.25">
      <c r="A104" s="13" t="s">
        <v>188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S104" s="16"/>
      <c r="T104" s="16"/>
      <c r="U104" s="16"/>
      <c r="V104" s="16"/>
      <c r="W104" s="16"/>
      <c r="X104" s="16"/>
    </row>
    <row r="105" spans="1:24" ht="15.75" x14ac:dyDescent="0.25">
      <c r="A105" s="14" t="s">
        <v>47</v>
      </c>
      <c r="B105" s="14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S105" s="16"/>
      <c r="T105" s="16"/>
      <c r="U105" s="16"/>
      <c r="V105" s="16"/>
      <c r="W105" s="16"/>
      <c r="X105" s="16"/>
    </row>
    <row r="106" spans="1:24" ht="15.75" x14ac:dyDescent="0.25">
      <c r="A106" s="10" t="s">
        <v>48</v>
      </c>
      <c r="B106" s="212" t="s">
        <v>49</v>
      </c>
      <c r="C106" s="212"/>
      <c r="D106" s="212" t="s">
        <v>153</v>
      </c>
      <c r="E106" s="212"/>
      <c r="F106" s="212" t="s">
        <v>151</v>
      </c>
      <c r="G106" s="212"/>
      <c r="H106" s="212" t="s">
        <v>150</v>
      </c>
      <c r="I106" s="212"/>
      <c r="J106" s="212" t="s">
        <v>50</v>
      </c>
      <c r="K106" s="212"/>
      <c r="L106" s="110" t="s">
        <v>178</v>
      </c>
      <c r="M106" s="112"/>
      <c r="N106" s="45"/>
      <c r="O106" s="17"/>
      <c r="S106" s="16"/>
      <c r="T106" s="16"/>
      <c r="U106" s="16"/>
      <c r="V106" s="16"/>
      <c r="W106" s="16"/>
      <c r="X106" s="16"/>
    </row>
    <row r="107" spans="1:24" ht="15.75" x14ac:dyDescent="0.25">
      <c r="A107" s="12">
        <v>1</v>
      </c>
      <c r="B107" s="217" t="s">
        <v>51</v>
      </c>
      <c r="C107" s="217"/>
      <c r="D107" s="147">
        <v>108888.33</v>
      </c>
      <c r="E107" s="147"/>
      <c r="F107" s="147">
        <v>108195.73</v>
      </c>
      <c r="G107" s="147"/>
      <c r="H107" s="147">
        <v>98915</v>
      </c>
      <c r="I107" s="147"/>
      <c r="J107" s="147">
        <f>F107*100/D107</f>
        <v>99.363935510811856</v>
      </c>
      <c r="K107" s="147"/>
      <c r="L107" s="111">
        <f>F107*100/H107</f>
        <v>109.38253045544154</v>
      </c>
      <c r="M107" s="113"/>
      <c r="N107" s="46"/>
      <c r="O107" s="17"/>
      <c r="P107" s="16"/>
      <c r="S107" s="16"/>
      <c r="T107" s="16"/>
      <c r="U107" s="16"/>
      <c r="V107" s="16"/>
      <c r="W107" s="16"/>
      <c r="X107" s="16"/>
    </row>
    <row r="108" spans="1:24" ht="15.75" x14ac:dyDescent="0.25">
      <c r="A108" s="12">
        <v>2</v>
      </c>
      <c r="B108" s="217" t="s">
        <v>52</v>
      </c>
      <c r="C108" s="217"/>
      <c r="D108" s="147">
        <v>108888.33</v>
      </c>
      <c r="E108" s="147"/>
      <c r="F108" s="147">
        <v>70062.740000000005</v>
      </c>
      <c r="G108" s="147"/>
      <c r="H108" s="147">
        <v>102622.35</v>
      </c>
      <c r="I108" s="147"/>
      <c r="J108" s="147">
        <f t="shared" ref="J108:J115" si="2">F108*100/D108</f>
        <v>64.343662906759619</v>
      </c>
      <c r="K108" s="147"/>
      <c r="L108" s="111">
        <f t="shared" ref="L108:L109" si="3">F108*100/H108</f>
        <v>68.272398751344127</v>
      </c>
      <c r="M108" s="113"/>
      <c r="N108" s="46"/>
      <c r="P108" s="16"/>
      <c r="S108" s="16"/>
      <c r="T108" s="16"/>
      <c r="U108" s="16"/>
      <c r="V108" s="16"/>
      <c r="W108" s="16"/>
      <c r="X108" s="16"/>
    </row>
    <row r="109" spans="1:24" ht="15.75" x14ac:dyDescent="0.25">
      <c r="A109" s="12">
        <v>3</v>
      </c>
      <c r="B109" s="217" t="s">
        <v>53</v>
      </c>
      <c r="C109" s="217"/>
      <c r="D109" s="147">
        <v>108888.33</v>
      </c>
      <c r="E109" s="147"/>
      <c r="F109" s="147">
        <v>87324.29</v>
      </c>
      <c r="G109" s="147"/>
      <c r="H109" s="147">
        <v>48700.69</v>
      </c>
      <c r="I109" s="147"/>
      <c r="J109" s="147">
        <f t="shared" si="2"/>
        <v>80.196188149822845</v>
      </c>
      <c r="K109" s="147"/>
      <c r="L109" s="111">
        <f t="shared" si="3"/>
        <v>179.30811657904641</v>
      </c>
      <c r="M109" s="113"/>
      <c r="N109" s="46"/>
      <c r="P109" s="16"/>
      <c r="S109" s="16"/>
      <c r="T109" s="16"/>
      <c r="U109" s="16"/>
      <c r="V109" s="16"/>
      <c r="W109" s="16"/>
      <c r="X109" s="16"/>
    </row>
    <row r="110" spans="1:24" ht="15.75" x14ac:dyDescent="0.25">
      <c r="A110" s="12">
        <v>4</v>
      </c>
      <c r="B110" s="148" t="s">
        <v>165</v>
      </c>
      <c r="C110" s="149"/>
      <c r="D110" s="147">
        <v>108888.33</v>
      </c>
      <c r="E110" s="147"/>
      <c r="F110" s="145">
        <v>75257.2</v>
      </c>
      <c r="G110" s="146"/>
      <c r="H110" s="145">
        <v>15706.41</v>
      </c>
      <c r="I110" s="146"/>
      <c r="J110" s="147">
        <f t="shared" si="2"/>
        <v>69.114109840788259</v>
      </c>
      <c r="K110" s="147"/>
      <c r="L110" s="111">
        <f t="shared" ref="L110:L118" si="4">F110*100/H110</f>
        <v>479.14959561096396</v>
      </c>
      <c r="M110" s="113"/>
      <c r="N110" s="46"/>
      <c r="P110" s="16"/>
      <c r="S110" s="16"/>
      <c r="T110" s="16"/>
      <c r="U110" s="16"/>
      <c r="V110" s="16"/>
      <c r="W110" s="16"/>
      <c r="X110" s="16"/>
    </row>
    <row r="111" spans="1:24" ht="15.75" x14ac:dyDescent="0.25">
      <c r="A111" s="12">
        <v>5</v>
      </c>
      <c r="B111" s="148" t="s">
        <v>166</v>
      </c>
      <c r="C111" s="149"/>
      <c r="D111" s="147">
        <v>108888.33</v>
      </c>
      <c r="E111" s="147"/>
      <c r="F111" s="145">
        <v>102975.21</v>
      </c>
      <c r="G111" s="146"/>
      <c r="H111" s="145">
        <v>30286.37</v>
      </c>
      <c r="I111" s="146"/>
      <c r="J111" s="147">
        <f t="shared" si="2"/>
        <v>94.56955580088335</v>
      </c>
      <c r="K111" s="147"/>
      <c r="L111" s="111">
        <f t="shared" si="4"/>
        <v>340.00512441735344</v>
      </c>
      <c r="M111" s="113"/>
      <c r="N111" s="46"/>
      <c r="O111" s="17"/>
      <c r="P111" s="16"/>
      <c r="S111" s="16"/>
      <c r="T111" s="16"/>
      <c r="U111" s="16"/>
      <c r="V111" s="16"/>
      <c r="W111" s="16"/>
      <c r="X111" s="16"/>
    </row>
    <row r="112" spans="1:24" ht="15.75" x14ac:dyDescent="0.25">
      <c r="A112" s="12">
        <v>6</v>
      </c>
      <c r="B112" s="148" t="s">
        <v>167</v>
      </c>
      <c r="C112" s="149"/>
      <c r="D112" s="147">
        <v>108888.33</v>
      </c>
      <c r="E112" s="147"/>
      <c r="F112" s="145">
        <v>123918.28</v>
      </c>
      <c r="G112" s="146"/>
      <c r="H112" s="145">
        <v>104193.43</v>
      </c>
      <c r="I112" s="146"/>
      <c r="J112" s="147">
        <f t="shared" si="2"/>
        <v>113.80308615257485</v>
      </c>
      <c r="K112" s="147"/>
      <c r="L112" s="111">
        <f t="shared" si="4"/>
        <v>118.93099209806223</v>
      </c>
      <c r="M112" s="113"/>
      <c r="N112" s="46"/>
      <c r="O112" s="16"/>
      <c r="P112" s="16"/>
      <c r="S112" s="16"/>
      <c r="T112" s="16"/>
      <c r="U112" s="16"/>
      <c r="V112" s="16"/>
      <c r="W112" s="16"/>
      <c r="X112" s="16"/>
    </row>
    <row r="113" spans="1:25" ht="15.75" x14ac:dyDescent="0.25">
      <c r="A113" s="12">
        <v>7</v>
      </c>
      <c r="B113" s="148" t="s">
        <v>175</v>
      </c>
      <c r="C113" s="149"/>
      <c r="D113" s="147">
        <v>108888.33</v>
      </c>
      <c r="E113" s="147"/>
      <c r="F113" s="145">
        <v>91397.62</v>
      </c>
      <c r="G113" s="146"/>
      <c r="H113" s="145">
        <v>63223.38</v>
      </c>
      <c r="I113" s="146"/>
      <c r="J113" s="147">
        <f t="shared" si="2"/>
        <v>83.937020615524176</v>
      </c>
      <c r="K113" s="147"/>
      <c r="L113" s="111">
        <f t="shared" si="4"/>
        <v>144.56300817830368</v>
      </c>
      <c r="M113" s="113"/>
      <c r="N113" s="46"/>
      <c r="O113" s="16"/>
      <c r="P113" s="16"/>
      <c r="S113" s="16"/>
      <c r="T113" s="16"/>
      <c r="U113" s="16"/>
      <c r="V113" s="16"/>
      <c r="W113" s="16"/>
      <c r="X113" s="16"/>
    </row>
    <row r="114" spans="1:25" ht="15.75" x14ac:dyDescent="0.25">
      <c r="A114" s="12">
        <v>8</v>
      </c>
      <c r="B114" s="148" t="s">
        <v>176</v>
      </c>
      <c r="C114" s="149"/>
      <c r="D114" s="147">
        <v>108888.33</v>
      </c>
      <c r="E114" s="147"/>
      <c r="F114" s="145">
        <v>131050.33</v>
      </c>
      <c r="G114" s="146"/>
      <c r="H114" s="145">
        <v>81502.899999999994</v>
      </c>
      <c r="I114" s="146"/>
      <c r="J114" s="147">
        <f t="shared" si="2"/>
        <v>120.35296160754784</v>
      </c>
      <c r="K114" s="147"/>
      <c r="L114" s="111">
        <f t="shared" si="4"/>
        <v>160.79222947895107</v>
      </c>
      <c r="M114" s="113"/>
      <c r="N114" s="46"/>
      <c r="O114" s="16"/>
      <c r="P114" s="16"/>
      <c r="S114" s="16"/>
      <c r="T114" s="16"/>
      <c r="U114" s="16"/>
      <c r="V114" s="16"/>
      <c r="W114" s="16"/>
      <c r="X114" s="16"/>
    </row>
    <row r="115" spans="1:25" ht="15.75" x14ac:dyDescent="0.25">
      <c r="A115" s="12">
        <v>9</v>
      </c>
      <c r="B115" s="148" t="s">
        <v>177</v>
      </c>
      <c r="C115" s="149"/>
      <c r="D115" s="147">
        <v>108888.34</v>
      </c>
      <c r="E115" s="147"/>
      <c r="F115" s="150">
        <v>117212.78</v>
      </c>
      <c r="G115" s="151"/>
      <c r="H115" s="145">
        <v>65817.61</v>
      </c>
      <c r="I115" s="146"/>
      <c r="J115" s="147">
        <f t="shared" si="2"/>
        <v>107.64493241425116</v>
      </c>
      <c r="K115" s="147"/>
      <c r="L115" s="111">
        <f t="shared" si="4"/>
        <v>178.08726266420189</v>
      </c>
      <c r="M115" s="113"/>
      <c r="N115" s="46"/>
      <c r="O115" s="16"/>
      <c r="P115" s="16"/>
      <c r="S115" s="16"/>
      <c r="T115" s="16"/>
      <c r="U115" s="16"/>
      <c r="V115" s="16"/>
      <c r="W115" s="16"/>
      <c r="X115" s="16"/>
    </row>
    <row r="116" spans="1:25" ht="15.75" x14ac:dyDescent="0.25">
      <c r="A116" s="12">
        <v>10</v>
      </c>
      <c r="B116" s="148" t="s">
        <v>185</v>
      </c>
      <c r="C116" s="149"/>
      <c r="D116" s="147">
        <v>108888.34</v>
      </c>
      <c r="E116" s="147"/>
      <c r="F116" s="150">
        <v>103102.2</v>
      </c>
      <c r="G116" s="151"/>
      <c r="H116" s="145">
        <v>102546.81</v>
      </c>
      <c r="I116" s="146"/>
      <c r="J116" s="147">
        <f t="shared" ref="J116:J119" si="5">F116*100/D116</f>
        <v>94.686171173148566</v>
      </c>
      <c r="K116" s="147"/>
      <c r="L116" s="111">
        <f t="shared" si="4"/>
        <v>100.54159656453477</v>
      </c>
      <c r="M116" s="113"/>
      <c r="N116" s="46"/>
      <c r="O116" s="16"/>
      <c r="P116" s="16"/>
      <c r="S116" s="16"/>
      <c r="T116" s="16"/>
      <c r="U116" s="16"/>
      <c r="V116" s="16"/>
      <c r="W116" s="16"/>
      <c r="X116" s="16"/>
    </row>
    <row r="117" spans="1:25" ht="15.75" x14ac:dyDescent="0.25">
      <c r="A117" s="12">
        <v>11</v>
      </c>
      <c r="B117" s="148" t="s">
        <v>186</v>
      </c>
      <c r="C117" s="149"/>
      <c r="D117" s="147">
        <v>108888.34</v>
      </c>
      <c r="E117" s="147"/>
      <c r="F117" s="150">
        <v>72958.92</v>
      </c>
      <c r="G117" s="151"/>
      <c r="H117" s="145">
        <v>64037.47</v>
      </c>
      <c r="I117" s="146"/>
      <c r="J117" s="147">
        <f t="shared" si="5"/>
        <v>67.003427547889885</v>
      </c>
      <c r="K117" s="147"/>
      <c r="L117" s="111">
        <f t="shared" si="4"/>
        <v>113.93160910323284</v>
      </c>
      <c r="M117" s="113"/>
      <c r="N117" s="46"/>
      <c r="O117" s="16"/>
      <c r="P117" s="16"/>
      <c r="S117" s="16"/>
      <c r="T117" s="16"/>
      <c r="U117" s="16"/>
      <c r="V117" s="16"/>
      <c r="W117" s="16"/>
      <c r="X117" s="16"/>
    </row>
    <row r="118" spans="1:25" ht="15.75" x14ac:dyDescent="0.25">
      <c r="A118" s="12">
        <v>12</v>
      </c>
      <c r="B118" s="148" t="s">
        <v>187</v>
      </c>
      <c r="C118" s="149"/>
      <c r="D118" s="147">
        <v>108888.34</v>
      </c>
      <c r="E118" s="147"/>
      <c r="F118" s="150">
        <v>83899.18</v>
      </c>
      <c r="G118" s="151"/>
      <c r="H118" s="145">
        <v>107432.35</v>
      </c>
      <c r="I118" s="146"/>
      <c r="J118" s="147">
        <f t="shared" si="5"/>
        <v>77.050655745142222</v>
      </c>
      <c r="K118" s="147"/>
      <c r="L118" s="111">
        <f t="shared" si="4"/>
        <v>78.094894135704934</v>
      </c>
      <c r="M118" s="113"/>
      <c r="N118" s="46"/>
      <c r="O118" s="16"/>
      <c r="P118" s="16"/>
      <c r="S118" s="16"/>
      <c r="T118" s="16"/>
      <c r="U118" s="16"/>
      <c r="V118" s="16"/>
      <c r="W118" s="16"/>
      <c r="X118" s="16"/>
    </row>
    <row r="119" spans="1:25" ht="15.75" x14ac:dyDescent="0.25">
      <c r="A119" s="12"/>
      <c r="B119" s="218" t="s">
        <v>54</v>
      </c>
      <c r="C119" s="219"/>
      <c r="D119" s="220">
        <f>SUM(D107:D118)</f>
        <v>1306660</v>
      </c>
      <c r="E119" s="212"/>
      <c r="F119" s="220">
        <f>SUM(F107:F118)</f>
        <v>1167354.48</v>
      </c>
      <c r="G119" s="212"/>
      <c r="H119" s="220">
        <f>SUM(H107:H118)</f>
        <v>884984.7699999999</v>
      </c>
      <c r="I119" s="212"/>
      <c r="J119" s="221">
        <f t="shared" si="5"/>
        <v>89.33880887147383</v>
      </c>
      <c r="K119" s="221"/>
      <c r="L119" s="109">
        <f>F119*100/H119</f>
        <v>131.90673100509969</v>
      </c>
      <c r="M119" s="114"/>
      <c r="N119" s="47"/>
      <c r="O119" s="16"/>
      <c r="P119" s="17"/>
      <c r="S119" s="16"/>
      <c r="T119" s="16"/>
      <c r="U119" s="16"/>
      <c r="V119" s="16"/>
      <c r="W119" s="16"/>
      <c r="X119" s="16"/>
    </row>
    <row r="120" spans="1:25" x14ac:dyDescent="0.25">
      <c r="F120" s="223"/>
      <c r="G120" s="223"/>
      <c r="P120" s="16"/>
      <c r="Q120" s="17"/>
      <c r="S120" s="16"/>
      <c r="T120" s="16"/>
      <c r="U120" s="16"/>
      <c r="V120" s="16"/>
      <c r="W120" s="16"/>
      <c r="X120" s="16"/>
    </row>
    <row r="121" spans="1:25" ht="15.75" x14ac:dyDescent="0.25">
      <c r="A121" s="195" t="s">
        <v>196</v>
      </c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48"/>
      <c r="O121" s="19"/>
      <c r="P121" s="75"/>
      <c r="S121" s="16"/>
      <c r="T121" s="16"/>
      <c r="U121" s="16"/>
      <c r="V121" s="16"/>
      <c r="W121" s="16"/>
      <c r="X121" s="16"/>
    </row>
    <row r="122" spans="1:25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7"/>
      <c r="P122" s="76"/>
      <c r="S122" s="16"/>
      <c r="T122" s="16"/>
      <c r="U122" s="16"/>
      <c r="V122" s="16"/>
      <c r="W122" s="16"/>
      <c r="X122" s="16"/>
    </row>
    <row r="123" spans="1:25" ht="15.75" x14ac:dyDescent="0.25">
      <c r="A123" s="7" t="s">
        <v>189</v>
      </c>
      <c r="B123" s="7"/>
      <c r="C123" s="7"/>
      <c r="D123" s="7"/>
      <c r="E123" s="7"/>
      <c r="F123" s="7"/>
      <c r="G123" s="15"/>
      <c r="H123" s="7"/>
      <c r="I123" s="7"/>
      <c r="J123" s="7"/>
      <c r="K123" s="7"/>
      <c r="L123" s="7"/>
      <c r="M123" s="7"/>
      <c r="N123" s="7"/>
      <c r="O123" s="7"/>
      <c r="P123" s="17"/>
      <c r="S123" s="16"/>
      <c r="T123" s="16"/>
      <c r="U123" s="16"/>
      <c r="V123" s="16"/>
      <c r="W123" s="16"/>
      <c r="X123" s="16"/>
    </row>
    <row r="124" spans="1:25" ht="15.75" x14ac:dyDescent="0.25">
      <c r="A124" s="7" t="s">
        <v>190</v>
      </c>
      <c r="B124" s="7"/>
      <c r="C124" s="7"/>
      <c r="D124" s="7"/>
      <c r="E124" s="7"/>
      <c r="F124" s="7"/>
      <c r="G124" s="15"/>
      <c r="H124" s="7"/>
      <c r="I124" s="7"/>
      <c r="J124" s="7"/>
      <c r="K124" s="7"/>
      <c r="L124" s="7"/>
      <c r="M124" s="7"/>
      <c r="N124" s="7"/>
      <c r="O124" s="7"/>
      <c r="S124" s="16"/>
      <c r="T124" s="16"/>
      <c r="U124" s="16"/>
      <c r="V124" s="16"/>
      <c r="W124" s="16"/>
      <c r="X124" s="16"/>
    </row>
    <row r="125" spans="1:25" ht="15.75" x14ac:dyDescent="0.25">
      <c r="A125" s="196" t="s">
        <v>220</v>
      </c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S125" s="16"/>
      <c r="T125" s="16"/>
      <c r="U125" s="16"/>
      <c r="V125" s="16"/>
      <c r="W125" s="16"/>
      <c r="X125" s="16"/>
    </row>
    <row r="126" spans="1:25" x14ac:dyDescent="0.25">
      <c r="A126" t="s">
        <v>152</v>
      </c>
      <c r="S126" s="16"/>
      <c r="T126" s="16"/>
      <c r="U126" s="16"/>
      <c r="V126" s="16"/>
      <c r="W126" s="16"/>
      <c r="X126" s="16"/>
    </row>
    <row r="127" spans="1:25" ht="15.75" x14ac:dyDescent="0.25">
      <c r="A127" s="35" t="s">
        <v>191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S127" s="16"/>
      <c r="T127" s="16"/>
      <c r="U127" s="16"/>
      <c r="V127" s="16"/>
      <c r="W127" s="16"/>
      <c r="X127" s="16"/>
    </row>
    <row r="128" spans="1:25" x14ac:dyDescent="0.25">
      <c r="A128" t="s">
        <v>192</v>
      </c>
      <c r="P128" s="16"/>
      <c r="S128" s="16"/>
      <c r="T128" s="16"/>
      <c r="U128" s="16"/>
      <c r="V128" s="17"/>
      <c r="W128" s="16"/>
      <c r="X128" s="17"/>
      <c r="Y128" s="17"/>
    </row>
    <row r="129" spans="1:25" x14ac:dyDescent="0.25">
      <c r="A129" t="s">
        <v>221</v>
      </c>
      <c r="P129" s="16"/>
      <c r="S129" s="16"/>
      <c r="T129" s="16"/>
      <c r="U129" s="16"/>
      <c r="V129" s="17"/>
      <c r="W129" s="16"/>
      <c r="X129" s="17"/>
      <c r="Y129" s="17"/>
    </row>
    <row r="130" spans="1:25" x14ac:dyDescent="0.25">
      <c r="A130" t="s">
        <v>193</v>
      </c>
      <c r="L130" s="16"/>
      <c r="P130" s="16"/>
      <c r="S130" s="16"/>
      <c r="T130" s="16"/>
      <c r="U130" s="16"/>
      <c r="V130" s="17"/>
      <c r="W130" s="16"/>
      <c r="X130" s="17"/>
      <c r="Y130" s="17"/>
    </row>
    <row r="131" spans="1:25" x14ac:dyDescent="0.25">
      <c r="L131" s="16"/>
      <c r="P131" s="16"/>
      <c r="S131" s="16"/>
      <c r="T131" s="16"/>
      <c r="U131" s="16"/>
      <c r="V131" s="17"/>
      <c r="W131" s="16"/>
      <c r="X131" s="17"/>
      <c r="Y131" s="17"/>
    </row>
    <row r="132" spans="1:25" x14ac:dyDescent="0.25">
      <c r="L132" s="16"/>
      <c r="P132" s="16"/>
      <c r="S132" s="16"/>
      <c r="T132" s="16"/>
      <c r="U132" s="16"/>
      <c r="V132" s="17"/>
      <c r="W132" s="16"/>
      <c r="X132" s="17"/>
      <c r="Y132" s="17"/>
    </row>
    <row r="133" spans="1:25" x14ac:dyDescent="0.25">
      <c r="L133" s="16"/>
      <c r="P133" s="16"/>
      <c r="S133" s="16"/>
      <c r="T133" s="16"/>
      <c r="U133" s="16"/>
      <c r="V133" s="17"/>
      <c r="W133" s="16"/>
      <c r="X133" s="17"/>
      <c r="Y133" s="17"/>
    </row>
    <row r="134" spans="1:25" x14ac:dyDescent="0.25">
      <c r="L134" s="16"/>
      <c r="P134" s="16"/>
      <c r="S134" s="16"/>
      <c r="T134" s="16"/>
      <c r="U134" s="16"/>
      <c r="V134" s="17"/>
      <c r="W134" s="16"/>
      <c r="X134" s="17"/>
      <c r="Y134" s="17"/>
    </row>
    <row r="135" spans="1:25" x14ac:dyDescent="0.25">
      <c r="L135" s="16"/>
      <c r="P135" s="16"/>
      <c r="S135" s="16"/>
      <c r="T135" s="16"/>
      <c r="U135" s="16"/>
      <c r="V135" s="17"/>
      <c r="W135" s="16"/>
      <c r="X135" s="17"/>
      <c r="Y135" s="17"/>
    </row>
    <row r="136" spans="1:25" x14ac:dyDescent="0.25">
      <c r="L136" s="16"/>
      <c r="P136" s="16"/>
      <c r="S136" s="16"/>
      <c r="T136" s="16"/>
      <c r="U136" s="16"/>
      <c r="V136" s="17"/>
      <c r="W136" s="16"/>
      <c r="X136" s="17"/>
      <c r="Y136" s="17"/>
    </row>
    <row r="137" spans="1:25" x14ac:dyDescent="0.25">
      <c r="L137" s="16"/>
      <c r="P137" s="16"/>
      <c r="S137" s="16"/>
      <c r="T137" s="16"/>
      <c r="U137" s="16"/>
      <c r="V137" s="17"/>
      <c r="W137" s="16"/>
      <c r="X137" s="17"/>
      <c r="Y137" s="17"/>
    </row>
    <row r="138" spans="1:25" x14ac:dyDescent="0.25">
      <c r="L138" s="16"/>
      <c r="O138" s="63">
        <v>3</v>
      </c>
      <c r="P138" s="16"/>
      <c r="S138" s="16"/>
      <c r="T138" s="16"/>
      <c r="U138" s="16"/>
      <c r="V138" s="17"/>
      <c r="W138" s="16"/>
      <c r="X138" s="17"/>
      <c r="Y138" s="17"/>
    </row>
    <row r="139" spans="1:25" x14ac:dyDescent="0.25">
      <c r="L139" s="16"/>
      <c r="P139" s="16"/>
      <c r="S139" s="16"/>
      <c r="T139" s="16"/>
      <c r="U139" s="16"/>
      <c r="V139" s="17"/>
      <c r="W139" s="16"/>
      <c r="X139" s="17"/>
      <c r="Y139" s="17"/>
    </row>
    <row r="140" spans="1:25" ht="15.75" x14ac:dyDescent="0.25">
      <c r="A140" s="222" t="s">
        <v>195</v>
      </c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43"/>
      <c r="S140" s="16"/>
      <c r="Y140" s="16"/>
    </row>
    <row r="141" spans="1:25" x14ac:dyDescent="0.25">
      <c r="S141" s="16"/>
      <c r="Y141" s="17"/>
    </row>
    <row r="142" spans="1:25" x14ac:dyDescent="0.25">
      <c r="S142" s="16"/>
    </row>
    <row r="143" spans="1:25" x14ac:dyDescent="0.25">
      <c r="S143" s="16"/>
    </row>
    <row r="144" spans="1:25" x14ac:dyDescent="0.25">
      <c r="S144" s="16"/>
    </row>
    <row r="145" spans="1:24" x14ac:dyDescent="0.25">
      <c r="S145" s="16"/>
    </row>
    <row r="146" spans="1:24" x14ac:dyDescent="0.25">
      <c r="S146" s="16"/>
    </row>
    <row r="147" spans="1:24" x14ac:dyDescent="0.25">
      <c r="S147" s="16"/>
    </row>
    <row r="148" spans="1:24" x14ac:dyDescent="0.25">
      <c r="S148" s="16"/>
    </row>
    <row r="152" spans="1:24" x14ac:dyDescent="0.25">
      <c r="O152" s="31"/>
    </row>
    <row r="153" spans="1:24" ht="15.75" x14ac:dyDescent="0.25">
      <c r="A153" s="7" t="s">
        <v>55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R153" s="17"/>
    </row>
    <row r="154" spans="1:24" ht="15.75" x14ac:dyDescent="0.25">
      <c r="A154" s="196" t="s">
        <v>194</v>
      </c>
      <c r="B154" s="196"/>
      <c r="C154" s="196"/>
      <c r="D154" s="196"/>
      <c r="E154" s="196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16"/>
      <c r="R154" s="16"/>
      <c r="S154" s="17"/>
      <c r="T154" s="16"/>
      <c r="U154" s="16"/>
      <c r="V154" s="16"/>
      <c r="W154" s="16"/>
      <c r="X154" s="16"/>
    </row>
    <row r="155" spans="1:24" ht="15.75" x14ac:dyDescent="0.25">
      <c r="A155" s="32" t="s">
        <v>197</v>
      </c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72"/>
      <c r="P155" s="115"/>
      <c r="S155" s="16"/>
      <c r="T155" s="16"/>
      <c r="U155" s="16"/>
      <c r="V155" s="16"/>
      <c r="X155" s="16"/>
    </row>
    <row r="156" spans="1:24" ht="15.7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8"/>
      <c r="P156" s="17"/>
      <c r="S156" s="16"/>
      <c r="T156" s="16"/>
      <c r="U156" s="16"/>
      <c r="V156" s="16"/>
      <c r="X156" s="16"/>
    </row>
    <row r="157" spans="1:24" ht="15.7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9"/>
      <c r="S157" s="16"/>
      <c r="T157" s="16"/>
      <c r="U157" s="16"/>
      <c r="V157" s="16"/>
      <c r="X157" s="16"/>
    </row>
    <row r="158" spans="1:24" ht="15.75" x14ac:dyDescent="0.25">
      <c r="A158" s="7"/>
      <c r="S158" s="17"/>
      <c r="T158" s="16"/>
      <c r="U158" s="16"/>
      <c r="V158" s="16"/>
      <c r="X158" s="16"/>
    </row>
    <row r="159" spans="1:24" ht="15.75" x14ac:dyDescent="0.25">
      <c r="A159" s="7" t="s">
        <v>198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16"/>
      <c r="Q159" s="16"/>
      <c r="R159" s="16"/>
      <c r="S159" s="17"/>
      <c r="T159" s="16"/>
      <c r="U159" s="16"/>
      <c r="V159" s="16"/>
      <c r="X159" s="16"/>
    </row>
    <row r="160" spans="1:24" ht="15.75" x14ac:dyDescent="0.25">
      <c r="A160" s="7" t="s">
        <v>199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18"/>
      <c r="N160" s="18"/>
      <c r="O160" s="18"/>
      <c r="P160" s="16"/>
      <c r="Q160" s="16"/>
      <c r="R160" s="16"/>
      <c r="S160" s="17"/>
      <c r="T160" s="16"/>
      <c r="U160" s="116"/>
      <c r="X160" s="17"/>
    </row>
    <row r="161" spans="1:21" ht="15.75" x14ac:dyDescent="0.25">
      <c r="A161" s="7" t="s">
        <v>200</v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18"/>
      <c r="N161" s="18"/>
      <c r="O161" s="7"/>
      <c r="P161" s="17"/>
      <c r="R161" s="16"/>
      <c r="S161" s="16"/>
      <c r="T161" s="16"/>
      <c r="U161" s="16"/>
    </row>
    <row r="162" spans="1:21" ht="15.75" x14ac:dyDescent="0.25">
      <c r="A162" s="7" t="s">
        <v>201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17"/>
      <c r="Q162" s="17"/>
      <c r="R162" s="16"/>
      <c r="S162" s="16"/>
      <c r="T162" s="16"/>
      <c r="U162" s="16"/>
    </row>
    <row r="163" spans="1:21" ht="15.75" x14ac:dyDescent="0.25">
      <c r="A163" s="7" t="s">
        <v>202</v>
      </c>
      <c r="B163" s="7"/>
      <c r="C163" s="7"/>
      <c r="D163" s="7"/>
      <c r="E163" s="7"/>
      <c r="F163" s="7"/>
      <c r="G163" s="18"/>
      <c r="H163" s="18"/>
      <c r="I163" s="7"/>
      <c r="J163" s="7"/>
      <c r="K163" s="7"/>
      <c r="L163" s="7"/>
      <c r="M163" s="19"/>
      <c r="N163" s="19"/>
      <c r="O163" s="7"/>
      <c r="P163" s="16"/>
      <c r="S163" s="16"/>
      <c r="T163" s="16"/>
      <c r="U163" s="16"/>
    </row>
    <row r="164" spans="1:21" ht="15.75" x14ac:dyDescent="0.25">
      <c r="A164" s="7" t="s">
        <v>203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85"/>
      <c r="S164" s="16"/>
      <c r="T164" s="16"/>
      <c r="U164" s="16"/>
    </row>
    <row r="165" spans="1:21" ht="15.75" x14ac:dyDescent="0.25">
      <c r="A165" s="7" t="s">
        <v>204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8"/>
      <c r="S165" s="16"/>
      <c r="T165" s="16"/>
      <c r="U165" s="16"/>
    </row>
    <row r="166" spans="1:21" ht="15.75" x14ac:dyDescent="0.25">
      <c r="A166" s="7" t="s">
        <v>168</v>
      </c>
      <c r="F166" s="16"/>
      <c r="O166" s="17"/>
      <c r="S166" s="17"/>
      <c r="T166" s="16"/>
      <c r="U166" s="16"/>
    </row>
    <row r="167" spans="1:21" ht="15.75" x14ac:dyDescent="0.25">
      <c r="A167" s="7" t="s">
        <v>205</v>
      </c>
      <c r="F167" s="16"/>
      <c r="S167" s="17"/>
      <c r="T167" s="16"/>
      <c r="U167" s="16"/>
    </row>
    <row r="168" spans="1:21" ht="15.75" x14ac:dyDescent="0.25">
      <c r="A168" s="245" t="s">
        <v>56</v>
      </c>
      <c r="B168" s="245"/>
      <c r="C168" s="245"/>
      <c r="D168" s="246">
        <v>16987900.129999999</v>
      </c>
      <c r="E168" s="246"/>
      <c r="F168" s="246"/>
      <c r="G168" s="34"/>
      <c r="S168" s="16"/>
      <c r="T168" s="16"/>
      <c r="U168" s="16"/>
    </row>
    <row r="169" spans="1:21" x14ac:dyDescent="0.25">
      <c r="S169" s="16"/>
      <c r="T169" s="16"/>
      <c r="U169" s="16"/>
    </row>
    <row r="170" spans="1:21" x14ac:dyDescent="0.25">
      <c r="S170" s="16"/>
      <c r="T170" s="16"/>
      <c r="U170" s="16"/>
    </row>
    <row r="171" spans="1:21" x14ac:dyDescent="0.25">
      <c r="S171" s="16"/>
      <c r="T171" s="16"/>
      <c r="U171" s="16"/>
    </row>
    <row r="172" spans="1:21" x14ac:dyDescent="0.25">
      <c r="S172" s="16"/>
      <c r="T172" s="16"/>
      <c r="U172" s="16"/>
    </row>
    <row r="173" spans="1:21" x14ac:dyDescent="0.25">
      <c r="O173" s="63">
        <v>4</v>
      </c>
      <c r="S173" s="16"/>
      <c r="T173" s="16"/>
      <c r="U173" s="16"/>
    </row>
    <row r="174" spans="1:21" x14ac:dyDescent="0.25">
      <c r="O174" s="63"/>
      <c r="S174" s="16"/>
      <c r="T174" s="16"/>
      <c r="U174" s="16"/>
    </row>
    <row r="175" spans="1:21" ht="15.75" x14ac:dyDescent="0.25">
      <c r="A175" s="8" t="s">
        <v>206</v>
      </c>
      <c r="B175" s="8"/>
      <c r="C175" s="8"/>
      <c r="D175" s="8"/>
      <c r="E175" s="8"/>
      <c r="F175" s="8"/>
      <c r="G175" s="8"/>
      <c r="H175" s="7"/>
      <c r="I175" s="7"/>
      <c r="J175" s="7"/>
      <c r="K175" s="7"/>
      <c r="L175" s="7"/>
      <c r="M175" s="7"/>
      <c r="N175" s="7"/>
      <c r="O175" s="7"/>
      <c r="T175" s="16"/>
      <c r="U175" s="16"/>
    </row>
    <row r="176" spans="1:21" ht="15.7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18"/>
      <c r="N176" s="18"/>
      <c r="O176" s="7"/>
      <c r="T176" s="16"/>
      <c r="U176" s="16"/>
    </row>
    <row r="177" spans="1:22" ht="15.75" x14ac:dyDescent="0.25">
      <c r="A177" s="7" t="s">
        <v>105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T177" s="17"/>
      <c r="U177" s="16"/>
      <c r="V177" s="16"/>
    </row>
    <row r="178" spans="1:22" ht="15.75" x14ac:dyDescent="0.25">
      <c r="A178" s="7" t="s">
        <v>57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U178" s="16"/>
      <c r="V178" s="16"/>
    </row>
    <row r="179" spans="1:22" ht="15.75" x14ac:dyDescent="0.25">
      <c r="A179" s="7" t="s">
        <v>106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T179" s="17"/>
      <c r="V179" s="16"/>
    </row>
    <row r="180" spans="1:22" ht="15.75" x14ac:dyDescent="0.25">
      <c r="A180" s="7" t="s">
        <v>107</v>
      </c>
      <c r="B180" s="7"/>
      <c r="C180" s="7"/>
      <c r="D180" s="7"/>
      <c r="E180" s="7"/>
      <c r="F180" s="7"/>
      <c r="G180" s="15"/>
      <c r="H180" s="7"/>
      <c r="I180" s="7"/>
      <c r="J180" s="7"/>
      <c r="K180" s="7"/>
      <c r="L180" s="7"/>
      <c r="M180" s="7"/>
      <c r="N180" s="7"/>
      <c r="O180" s="7"/>
      <c r="V180" s="16"/>
    </row>
    <row r="181" spans="1:22" ht="15.75" x14ac:dyDescent="0.25">
      <c r="A181" s="7" t="s">
        <v>207</v>
      </c>
      <c r="B181" s="7"/>
      <c r="C181" s="7"/>
      <c r="D181" s="7"/>
      <c r="E181" s="7"/>
      <c r="F181" s="7"/>
      <c r="G181" s="15"/>
      <c r="H181" s="7"/>
      <c r="I181" s="7"/>
      <c r="J181" s="7"/>
      <c r="K181" s="7"/>
      <c r="L181" s="7"/>
      <c r="M181" s="7"/>
      <c r="N181" s="7"/>
      <c r="O181" s="7"/>
      <c r="V181" s="16"/>
    </row>
    <row r="182" spans="1:22" ht="15.75" x14ac:dyDescent="0.25">
      <c r="A182" s="7" t="s">
        <v>58</v>
      </c>
      <c r="B182" s="7"/>
      <c r="C182" s="7"/>
      <c r="D182" s="7"/>
      <c r="E182" s="7"/>
      <c r="F182" s="7"/>
      <c r="G182" s="15"/>
      <c r="H182" s="7"/>
      <c r="I182" s="7"/>
      <c r="J182" s="7"/>
      <c r="K182" s="7"/>
      <c r="L182" s="7"/>
      <c r="M182" s="7"/>
      <c r="N182" s="7"/>
      <c r="O182" s="7"/>
      <c r="P182" s="31"/>
    </row>
    <row r="183" spans="1:22" ht="15.75" x14ac:dyDescent="0.25">
      <c r="A183" s="7"/>
      <c r="B183" s="7"/>
      <c r="C183" s="7"/>
      <c r="D183" s="7"/>
      <c r="E183" s="7"/>
      <c r="F183" s="7"/>
      <c r="G183" s="51"/>
      <c r="H183" s="7"/>
      <c r="I183" s="7"/>
      <c r="J183" s="7"/>
      <c r="K183" s="7"/>
      <c r="L183" s="7"/>
      <c r="M183" s="7"/>
      <c r="N183" s="7"/>
      <c r="O183" s="72"/>
      <c r="P183" s="31"/>
    </row>
    <row r="184" spans="1:22" ht="15.75" x14ac:dyDescent="0.25">
      <c r="A184" s="7" t="s">
        <v>59</v>
      </c>
      <c r="B184" s="7"/>
      <c r="C184" s="7"/>
      <c r="D184" s="7"/>
      <c r="E184" s="7"/>
      <c r="F184" s="7"/>
    </row>
    <row r="185" spans="1:22" ht="15.75" x14ac:dyDescent="0.25">
      <c r="A185" s="7" t="s">
        <v>60</v>
      </c>
      <c r="B185" s="7"/>
      <c r="C185" s="7"/>
      <c r="D185" s="7"/>
      <c r="E185" s="7"/>
      <c r="F185" s="7"/>
      <c r="P185" s="31"/>
    </row>
    <row r="186" spans="1:22" ht="15.75" x14ac:dyDescent="0.25">
      <c r="A186" s="7" t="s">
        <v>61</v>
      </c>
      <c r="B186" s="7"/>
      <c r="C186" s="7"/>
      <c r="D186" s="7"/>
      <c r="E186" s="7"/>
      <c r="F186" s="7"/>
    </row>
    <row r="187" spans="1:22" ht="15.75" x14ac:dyDescent="0.25">
      <c r="A187" s="7" t="s">
        <v>62</v>
      </c>
      <c r="B187" s="7"/>
      <c r="C187" s="7"/>
      <c r="D187" s="7"/>
      <c r="E187" s="7"/>
      <c r="F187" s="7"/>
    </row>
    <row r="188" spans="1:22" ht="15.75" x14ac:dyDescent="0.25">
      <c r="A188" s="7" t="s">
        <v>63</v>
      </c>
      <c r="B188" s="7"/>
      <c r="C188" s="7"/>
      <c r="D188" s="7"/>
      <c r="E188" s="7"/>
      <c r="F188" s="7"/>
      <c r="O188" s="31"/>
      <c r="P188" s="20"/>
    </row>
    <row r="189" spans="1:22" ht="15.75" x14ac:dyDescent="0.25">
      <c r="A189" s="7" t="s">
        <v>64</v>
      </c>
      <c r="B189" s="7"/>
      <c r="C189" s="7"/>
      <c r="D189" s="7"/>
      <c r="E189" s="7"/>
      <c r="F189" s="7"/>
      <c r="P189" s="31"/>
    </row>
    <row r="190" spans="1:22" ht="15.75" x14ac:dyDescent="0.25">
      <c r="A190" s="7" t="s">
        <v>65</v>
      </c>
      <c r="B190" s="7"/>
      <c r="C190" s="7"/>
      <c r="D190" s="7"/>
      <c r="E190" s="7"/>
      <c r="F190" s="7"/>
    </row>
    <row r="191" spans="1:22" ht="15.75" x14ac:dyDescent="0.25">
      <c r="A191" s="7" t="s">
        <v>66</v>
      </c>
      <c r="B191" s="7"/>
      <c r="C191" s="7"/>
      <c r="D191" s="7"/>
      <c r="E191" s="7"/>
      <c r="F191" s="7"/>
      <c r="O191" s="31"/>
      <c r="P191" s="31"/>
    </row>
    <row r="192" spans="1:22" ht="15.75" x14ac:dyDescent="0.25">
      <c r="A192" s="7" t="s">
        <v>67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9" ht="15.75" x14ac:dyDescent="0.25">
      <c r="A193" s="7" t="s">
        <v>154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9" ht="15.75" x14ac:dyDescent="0.25">
      <c r="A194" s="7" t="s">
        <v>169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9" ht="15.75" x14ac:dyDescent="0.25">
      <c r="A195" s="7" t="s">
        <v>68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9" ht="15.75" x14ac:dyDescent="0.25">
      <c r="A196" s="7" t="s">
        <v>69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1:19" ht="15.75" x14ac:dyDescent="0.25">
      <c r="A197" s="7" t="s">
        <v>70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1:19" ht="15.75" x14ac:dyDescent="0.25">
      <c r="A198" s="8" t="s">
        <v>208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9" ht="15.75" x14ac:dyDescent="0.25">
      <c r="A199" s="226" t="s">
        <v>71</v>
      </c>
      <c r="B199" s="226"/>
      <c r="C199" s="22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7" t="s">
        <v>72</v>
      </c>
      <c r="P199" s="57"/>
    </row>
    <row r="200" spans="1:19" ht="15.75" x14ac:dyDescent="0.25">
      <c r="A200" s="181" t="s">
        <v>73</v>
      </c>
      <c r="B200" s="182"/>
      <c r="C200" s="183"/>
      <c r="D200" s="227" t="s">
        <v>74</v>
      </c>
      <c r="E200" s="227"/>
      <c r="F200" s="227"/>
      <c r="G200" s="204" t="s">
        <v>75</v>
      </c>
      <c r="H200" s="204"/>
      <c r="I200" s="204"/>
      <c r="J200" s="224" t="s">
        <v>156</v>
      </c>
      <c r="K200" s="225"/>
      <c r="L200" s="88" t="s">
        <v>155</v>
      </c>
      <c r="M200" s="88" t="s">
        <v>132</v>
      </c>
      <c r="N200" s="89" t="s">
        <v>138</v>
      </c>
      <c r="O200" s="89" t="s">
        <v>139</v>
      </c>
      <c r="P200" s="53"/>
    </row>
    <row r="201" spans="1:19" ht="15.75" x14ac:dyDescent="0.25">
      <c r="A201" s="181">
        <v>1</v>
      </c>
      <c r="B201" s="182"/>
      <c r="C201" s="183"/>
      <c r="D201" s="172" t="s">
        <v>76</v>
      </c>
      <c r="E201" s="172"/>
      <c r="F201" s="172"/>
      <c r="G201" s="184">
        <v>110872.25</v>
      </c>
      <c r="H201" s="184"/>
      <c r="I201" s="184"/>
      <c r="J201" s="184">
        <v>110872.25</v>
      </c>
      <c r="K201" s="184"/>
      <c r="L201" s="90">
        <v>112761.68</v>
      </c>
      <c r="M201" s="90">
        <f>J201*100/G201</f>
        <v>100</v>
      </c>
      <c r="N201" s="91">
        <f>J201*100/O201</f>
        <v>100</v>
      </c>
      <c r="O201" s="92">
        <f>110872.25</f>
        <v>110872.25</v>
      </c>
      <c r="P201" s="54"/>
      <c r="Q201" s="16"/>
      <c r="R201" s="16"/>
    </row>
    <row r="202" spans="1:19" ht="15.75" x14ac:dyDescent="0.25">
      <c r="A202" s="181">
        <v>2</v>
      </c>
      <c r="B202" s="182"/>
      <c r="C202" s="183"/>
      <c r="D202" s="172" t="s">
        <v>77</v>
      </c>
      <c r="E202" s="172"/>
      <c r="F202" s="172"/>
      <c r="G202" s="184">
        <v>129214</v>
      </c>
      <c r="H202" s="184"/>
      <c r="I202" s="184"/>
      <c r="J202" s="150">
        <v>51734.73</v>
      </c>
      <c r="K202" s="151"/>
      <c r="L202" s="90">
        <v>36802.85</v>
      </c>
      <c r="M202" s="90">
        <f>J202*100/G202</f>
        <v>40.038022195737305</v>
      </c>
      <c r="N202" s="91">
        <f>J202*100/O202</f>
        <v>40.038022195737305</v>
      </c>
      <c r="O202" s="92">
        <v>129214</v>
      </c>
      <c r="P202" s="54"/>
      <c r="Q202" s="16"/>
      <c r="S202" s="33"/>
    </row>
    <row r="203" spans="1:19" ht="15.75" x14ac:dyDescent="0.25">
      <c r="A203" s="171">
        <v>3</v>
      </c>
      <c r="B203" s="171"/>
      <c r="C203" s="171"/>
      <c r="D203" s="172" t="s">
        <v>79</v>
      </c>
      <c r="E203" s="172"/>
      <c r="F203" s="172"/>
      <c r="G203" s="184">
        <f>6000+4903.5</f>
        <v>10903.5</v>
      </c>
      <c r="H203" s="184"/>
      <c r="I203" s="184"/>
      <c r="J203" s="150">
        <f>5796.5+4903.5</f>
        <v>10700</v>
      </c>
      <c r="K203" s="151"/>
      <c r="L203" s="90">
        <v>1500</v>
      </c>
      <c r="M203" s="90">
        <f>J203*100/G203</f>
        <v>98.133626817077086</v>
      </c>
      <c r="N203" s="91">
        <f>J203*100/O203</f>
        <v>98.133626817077086</v>
      </c>
      <c r="O203" s="92">
        <f>6000+4903.5</f>
        <v>10903.5</v>
      </c>
      <c r="P203" s="54"/>
      <c r="Q203" s="16"/>
      <c r="S203" s="33"/>
    </row>
    <row r="204" spans="1:19" ht="15.75" x14ac:dyDescent="0.25">
      <c r="A204" s="228" t="s">
        <v>54</v>
      </c>
      <c r="B204" s="229"/>
      <c r="C204" s="230"/>
      <c r="D204" s="199"/>
      <c r="E204" s="199"/>
      <c r="F204" s="199"/>
      <c r="G204" s="200">
        <f>SUM(G201:G203)</f>
        <v>250989.75</v>
      </c>
      <c r="H204" s="200"/>
      <c r="I204" s="200"/>
      <c r="J204" s="202">
        <f>SUM(J201:J203)</f>
        <v>173306.98</v>
      </c>
      <c r="K204" s="203"/>
      <c r="L204" s="93">
        <f>SUM(L201:L203)</f>
        <v>151064.53</v>
      </c>
      <c r="M204" s="94">
        <f>J204*100/G204</f>
        <v>69.049425325137776</v>
      </c>
      <c r="N204" s="95">
        <f>J204*100/O204</f>
        <v>69.049425325137776</v>
      </c>
      <c r="O204" s="96">
        <f>SUM(O201:O203)</f>
        <v>250989.75</v>
      </c>
      <c r="P204" s="55"/>
      <c r="Q204" s="16"/>
    </row>
    <row r="205" spans="1:19" x14ac:dyDescent="0.25">
      <c r="P205" s="56"/>
      <c r="Q205" s="16"/>
    </row>
    <row r="206" spans="1:19" x14ac:dyDescent="0.25">
      <c r="P206" s="56"/>
      <c r="Q206" s="16"/>
    </row>
    <row r="207" spans="1:19" x14ac:dyDescent="0.25">
      <c r="P207" s="56"/>
      <c r="Q207" s="16"/>
    </row>
    <row r="208" spans="1:19" x14ac:dyDescent="0.25">
      <c r="O208" s="63">
        <v>5</v>
      </c>
      <c r="P208" s="56"/>
      <c r="Q208" s="16"/>
    </row>
    <row r="209" spans="1:17" x14ac:dyDescent="0.25">
      <c r="P209" s="56"/>
      <c r="Q209" s="16"/>
    </row>
    <row r="210" spans="1:17" x14ac:dyDescent="0.25">
      <c r="A210" s="97" t="s">
        <v>81</v>
      </c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 t="s">
        <v>108</v>
      </c>
      <c r="Q210" s="16"/>
    </row>
    <row r="211" spans="1:17" ht="15.75" x14ac:dyDescent="0.25">
      <c r="A211" s="181" t="s">
        <v>73</v>
      </c>
      <c r="B211" s="182"/>
      <c r="C211" s="183"/>
      <c r="D211" s="171" t="s">
        <v>74</v>
      </c>
      <c r="E211" s="171"/>
      <c r="F211" s="171"/>
      <c r="G211" s="204" t="s">
        <v>75</v>
      </c>
      <c r="H211" s="204"/>
      <c r="I211" s="204"/>
      <c r="J211" s="185" t="s">
        <v>158</v>
      </c>
      <c r="K211" s="186"/>
      <c r="L211" s="88" t="s">
        <v>157</v>
      </c>
      <c r="M211" s="98" t="s">
        <v>132</v>
      </c>
      <c r="N211" s="89" t="s">
        <v>138</v>
      </c>
      <c r="O211" s="89" t="s">
        <v>139</v>
      </c>
      <c r="P211" s="53"/>
      <c r="Q211" s="16"/>
    </row>
    <row r="212" spans="1:17" ht="15.75" x14ac:dyDescent="0.25">
      <c r="A212" s="181">
        <v>1</v>
      </c>
      <c r="B212" s="182"/>
      <c r="C212" s="183"/>
      <c r="D212" s="172" t="s">
        <v>76</v>
      </c>
      <c r="E212" s="172"/>
      <c r="F212" s="172"/>
      <c r="G212" s="184">
        <v>201369.63</v>
      </c>
      <c r="H212" s="184"/>
      <c r="I212" s="184"/>
      <c r="J212" s="150">
        <v>201369.63</v>
      </c>
      <c r="K212" s="151"/>
      <c r="L212" s="90">
        <v>205908.58</v>
      </c>
      <c r="M212" s="91">
        <f t="shared" ref="M212:M217" si="6">J212*100/G212</f>
        <v>100</v>
      </c>
      <c r="N212" s="91">
        <f t="shared" ref="N212:N216" si="7">J212*100/O212</f>
        <v>100</v>
      </c>
      <c r="O212" s="92">
        <v>201369.63</v>
      </c>
      <c r="P212" s="54"/>
      <c r="Q212" s="16"/>
    </row>
    <row r="213" spans="1:17" ht="15.75" x14ac:dyDescent="0.25">
      <c r="A213" s="181">
        <v>2</v>
      </c>
      <c r="B213" s="182"/>
      <c r="C213" s="183"/>
      <c r="D213" s="172" t="s">
        <v>77</v>
      </c>
      <c r="E213" s="172"/>
      <c r="F213" s="172"/>
      <c r="G213" s="184">
        <v>139100</v>
      </c>
      <c r="H213" s="184"/>
      <c r="I213" s="184"/>
      <c r="J213" s="150">
        <v>106092.53</v>
      </c>
      <c r="K213" s="201"/>
      <c r="L213" s="91">
        <v>126412.12</v>
      </c>
      <c r="M213" s="91">
        <f t="shared" si="6"/>
        <v>76.270690150970523</v>
      </c>
      <c r="N213" s="91">
        <f t="shared" si="7"/>
        <v>76.270690150970523</v>
      </c>
      <c r="O213" s="92">
        <v>139100</v>
      </c>
      <c r="P213" s="54"/>
      <c r="Q213" s="16"/>
    </row>
    <row r="214" spans="1:17" ht="15.75" x14ac:dyDescent="0.25">
      <c r="A214" s="171">
        <v>3</v>
      </c>
      <c r="B214" s="171"/>
      <c r="C214" s="171"/>
      <c r="D214" s="172" t="s">
        <v>78</v>
      </c>
      <c r="E214" s="172"/>
      <c r="F214" s="172"/>
      <c r="G214" s="184">
        <v>0</v>
      </c>
      <c r="H214" s="184"/>
      <c r="I214" s="184"/>
      <c r="J214" s="150">
        <v>0</v>
      </c>
      <c r="K214" s="201"/>
      <c r="L214" s="91">
        <v>1396.18</v>
      </c>
      <c r="M214" s="91">
        <v>0</v>
      </c>
      <c r="N214" s="91">
        <v>0</v>
      </c>
      <c r="O214" s="92">
        <v>0</v>
      </c>
      <c r="P214" s="54"/>
      <c r="Q214" s="16"/>
    </row>
    <row r="215" spans="1:17" ht="15.75" x14ac:dyDescent="0.25">
      <c r="A215" s="171">
        <v>4</v>
      </c>
      <c r="B215" s="171"/>
      <c r="C215" s="171"/>
      <c r="D215" s="172" t="s">
        <v>79</v>
      </c>
      <c r="E215" s="172"/>
      <c r="F215" s="172"/>
      <c r="G215" s="184">
        <v>250</v>
      </c>
      <c r="H215" s="184"/>
      <c r="I215" s="184"/>
      <c r="J215" s="150">
        <v>0</v>
      </c>
      <c r="K215" s="151"/>
      <c r="L215" s="91"/>
      <c r="M215" s="91">
        <v>0</v>
      </c>
      <c r="N215" s="91">
        <v>0</v>
      </c>
      <c r="O215" s="92">
        <v>250</v>
      </c>
      <c r="P215" s="54"/>
      <c r="Q215" s="16"/>
    </row>
    <row r="216" spans="1:17" ht="15.75" x14ac:dyDescent="0.25">
      <c r="A216" s="171">
        <v>5</v>
      </c>
      <c r="B216" s="171"/>
      <c r="C216" s="171"/>
      <c r="D216" s="172" t="s">
        <v>80</v>
      </c>
      <c r="E216" s="172"/>
      <c r="F216" s="172"/>
      <c r="G216" s="184">
        <f>5000+143000+15000</f>
        <v>163000</v>
      </c>
      <c r="H216" s="184"/>
      <c r="I216" s="184"/>
      <c r="J216" s="150">
        <f>73004.54+14825</f>
        <v>87829.54</v>
      </c>
      <c r="K216" s="151"/>
      <c r="L216" s="91">
        <v>220837</v>
      </c>
      <c r="M216" s="91">
        <f t="shared" si="6"/>
        <v>53.883153374233132</v>
      </c>
      <c r="N216" s="91">
        <f t="shared" si="7"/>
        <v>53.883153374233132</v>
      </c>
      <c r="O216" s="92">
        <v>163000</v>
      </c>
      <c r="P216" s="54"/>
      <c r="Q216" s="16"/>
    </row>
    <row r="217" spans="1:17" ht="15.75" x14ac:dyDescent="0.25">
      <c r="A217" s="197" t="s">
        <v>54</v>
      </c>
      <c r="B217" s="197"/>
      <c r="C217" s="197"/>
      <c r="D217" s="197"/>
      <c r="E217" s="197"/>
      <c r="F217" s="197"/>
      <c r="G217" s="231">
        <f>SUM(G212:G216)</f>
        <v>503719.63</v>
      </c>
      <c r="H217" s="197"/>
      <c r="I217" s="197"/>
      <c r="J217" s="179">
        <f>SUM(J212:J216)</f>
        <v>395291.7</v>
      </c>
      <c r="K217" s="180"/>
      <c r="L217" s="99">
        <f>SUM(L212:L216)</f>
        <v>554553.87999999989</v>
      </c>
      <c r="M217" s="100">
        <f t="shared" si="6"/>
        <v>78.474547438224718</v>
      </c>
      <c r="N217" s="95">
        <f>J217*100/618858</f>
        <v>63.874378290334775</v>
      </c>
      <c r="O217" s="95">
        <f>SUM(O212:O216)</f>
        <v>503719.63</v>
      </c>
      <c r="P217" s="58"/>
      <c r="Q217" s="16"/>
    </row>
    <row r="218" spans="1:17" x14ac:dyDescent="0.25">
      <c r="Q218" s="16"/>
    </row>
    <row r="219" spans="1:17" x14ac:dyDescent="0.25">
      <c r="A219" s="97" t="s">
        <v>82</v>
      </c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 t="s">
        <v>127</v>
      </c>
    </row>
    <row r="220" spans="1:17" ht="15.75" x14ac:dyDescent="0.25">
      <c r="A220" s="181" t="s">
        <v>73</v>
      </c>
      <c r="B220" s="182"/>
      <c r="C220" s="183"/>
      <c r="D220" s="171" t="s">
        <v>74</v>
      </c>
      <c r="E220" s="171"/>
      <c r="F220" s="171"/>
      <c r="G220" s="204" t="s">
        <v>75</v>
      </c>
      <c r="H220" s="204"/>
      <c r="I220" s="204"/>
      <c r="J220" s="185" t="s">
        <v>156</v>
      </c>
      <c r="K220" s="186"/>
      <c r="L220" s="101" t="s">
        <v>157</v>
      </c>
      <c r="M220" s="89" t="s">
        <v>132</v>
      </c>
      <c r="N220" s="89" t="s">
        <v>138</v>
      </c>
      <c r="O220" s="89" t="s">
        <v>139</v>
      </c>
      <c r="P220" s="60"/>
    </row>
    <row r="221" spans="1:17" ht="15.75" x14ac:dyDescent="0.25">
      <c r="A221" s="181">
        <v>1</v>
      </c>
      <c r="B221" s="182"/>
      <c r="C221" s="183"/>
      <c r="D221" s="172" t="s">
        <v>76</v>
      </c>
      <c r="E221" s="172"/>
      <c r="F221" s="172"/>
      <c r="G221" s="184">
        <v>64523.5</v>
      </c>
      <c r="H221" s="184"/>
      <c r="I221" s="184"/>
      <c r="J221" s="150">
        <v>64523.5</v>
      </c>
      <c r="K221" s="151"/>
      <c r="L221" s="102">
        <v>71133.11</v>
      </c>
      <c r="M221" s="102">
        <f>J221*100/G221</f>
        <v>100</v>
      </c>
      <c r="N221" s="102">
        <f>J221*100/O221</f>
        <v>100</v>
      </c>
      <c r="O221" s="103">
        <v>64523.5</v>
      </c>
      <c r="P221" s="61"/>
    </row>
    <row r="222" spans="1:17" ht="15.75" x14ac:dyDescent="0.25">
      <c r="A222" s="181">
        <v>2</v>
      </c>
      <c r="B222" s="182"/>
      <c r="C222" s="183"/>
      <c r="D222" s="172" t="s">
        <v>77</v>
      </c>
      <c r="E222" s="172"/>
      <c r="F222" s="172"/>
      <c r="G222" s="184">
        <v>37064</v>
      </c>
      <c r="H222" s="184"/>
      <c r="I222" s="184"/>
      <c r="J222" s="150">
        <v>10891.06</v>
      </c>
      <c r="K222" s="151"/>
      <c r="L222" s="102">
        <v>23641.24</v>
      </c>
      <c r="M222" s="102">
        <f t="shared" ref="M222:M225" si="8">J222*100/G222</f>
        <v>29.384470105763004</v>
      </c>
      <c r="N222" s="102">
        <f t="shared" ref="N222:N225" si="9">J222*100/O222</f>
        <v>29.384470105763004</v>
      </c>
      <c r="O222" s="103">
        <v>37064</v>
      </c>
      <c r="P222" s="61"/>
    </row>
    <row r="223" spans="1:17" ht="15.75" x14ac:dyDescent="0.25">
      <c r="A223" s="171">
        <v>3</v>
      </c>
      <c r="B223" s="171"/>
      <c r="C223" s="171"/>
      <c r="D223" s="172" t="s">
        <v>78</v>
      </c>
      <c r="E223" s="172"/>
      <c r="F223" s="172"/>
      <c r="G223" s="184">
        <v>0</v>
      </c>
      <c r="H223" s="184"/>
      <c r="I223" s="184"/>
      <c r="J223" s="150">
        <v>0</v>
      </c>
      <c r="K223" s="151"/>
      <c r="L223" s="102">
        <v>0</v>
      </c>
      <c r="M223" s="102">
        <v>0</v>
      </c>
      <c r="N223" s="102">
        <v>0</v>
      </c>
      <c r="O223" s="103">
        <v>0</v>
      </c>
      <c r="P223" s="61"/>
    </row>
    <row r="224" spans="1:17" ht="15.75" x14ac:dyDescent="0.25">
      <c r="A224" s="171">
        <v>4</v>
      </c>
      <c r="B224" s="171"/>
      <c r="C224" s="171"/>
      <c r="D224" s="172" t="s">
        <v>79</v>
      </c>
      <c r="E224" s="172"/>
      <c r="F224" s="172"/>
      <c r="G224" s="184">
        <v>0</v>
      </c>
      <c r="H224" s="184"/>
      <c r="I224" s="184"/>
      <c r="J224" s="150">
        <v>0</v>
      </c>
      <c r="K224" s="151"/>
      <c r="L224" s="102">
        <v>0</v>
      </c>
      <c r="M224" s="102">
        <v>0</v>
      </c>
      <c r="N224" s="102">
        <v>0</v>
      </c>
      <c r="O224" s="103">
        <v>0</v>
      </c>
      <c r="P224" s="61"/>
    </row>
    <row r="225" spans="1:18" ht="15.75" x14ac:dyDescent="0.25">
      <c r="A225" s="197" t="s">
        <v>54</v>
      </c>
      <c r="B225" s="197"/>
      <c r="C225" s="197"/>
      <c r="D225" s="197"/>
      <c r="E225" s="197"/>
      <c r="F225" s="197"/>
      <c r="G225" s="231">
        <f>SUM(G221:G224)</f>
        <v>101587.5</v>
      </c>
      <c r="H225" s="197"/>
      <c r="I225" s="197"/>
      <c r="J225" s="179">
        <f>SUM(J221:J224)</f>
        <v>75414.559999999998</v>
      </c>
      <c r="K225" s="180"/>
      <c r="L225" s="104">
        <f>SUM(L221:L224)</f>
        <v>94774.35</v>
      </c>
      <c r="M225" s="105">
        <f t="shared" si="8"/>
        <v>74.23606250769042</v>
      </c>
      <c r="N225" s="105">
        <f t="shared" si="9"/>
        <v>74.23606250769042</v>
      </c>
      <c r="O225" s="100">
        <f>SUM(O221:O224)</f>
        <v>101587.5</v>
      </c>
      <c r="P225" s="58"/>
    </row>
    <row r="226" spans="1:18" ht="15.75" x14ac:dyDescent="0.25">
      <c r="A226" s="118"/>
      <c r="B226" s="118"/>
      <c r="C226" s="118"/>
      <c r="D226" s="118"/>
      <c r="E226" s="118"/>
      <c r="F226" s="118"/>
      <c r="G226" s="119"/>
      <c r="H226" s="118"/>
      <c r="I226" s="118"/>
      <c r="J226" s="119"/>
      <c r="K226" s="119"/>
      <c r="L226" s="120"/>
      <c r="M226" s="121"/>
      <c r="N226" s="121"/>
      <c r="O226" s="120"/>
      <c r="P226" s="58"/>
    </row>
    <row r="227" spans="1:18" ht="15.75" x14ac:dyDescent="0.25">
      <c r="A227" s="118"/>
      <c r="B227" s="118"/>
      <c r="C227" s="118"/>
      <c r="D227" s="118"/>
      <c r="E227" s="118"/>
      <c r="F227" s="118"/>
      <c r="G227" s="119"/>
      <c r="H227" s="118"/>
      <c r="I227" s="118"/>
      <c r="J227" s="119"/>
      <c r="K227" s="119"/>
      <c r="L227" s="120"/>
      <c r="M227" s="121"/>
      <c r="N227" s="121"/>
      <c r="O227" s="122"/>
      <c r="P227" s="58"/>
    </row>
    <row r="228" spans="1:18" x14ac:dyDescent="0.25">
      <c r="A228" s="20" t="s">
        <v>83</v>
      </c>
      <c r="O228" t="s">
        <v>126</v>
      </c>
    </row>
    <row r="229" spans="1:18" ht="15.75" x14ac:dyDescent="0.25">
      <c r="A229" s="181" t="s">
        <v>73</v>
      </c>
      <c r="B229" s="182"/>
      <c r="C229" s="183"/>
      <c r="D229" s="227" t="s">
        <v>74</v>
      </c>
      <c r="E229" s="227"/>
      <c r="F229" s="227"/>
      <c r="G229" s="204" t="s">
        <v>75</v>
      </c>
      <c r="H229" s="204"/>
      <c r="I229" s="204"/>
      <c r="J229" s="185" t="s">
        <v>158</v>
      </c>
      <c r="K229" s="186"/>
      <c r="L229" s="101" t="s">
        <v>157</v>
      </c>
      <c r="M229" s="89" t="s">
        <v>132</v>
      </c>
      <c r="N229" s="89" t="s">
        <v>138</v>
      </c>
      <c r="O229" s="89" t="s">
        <v>139</v>
      </c>
      <c r="P229" s="60"/>
    </row>
    <row r="230" spans="1:18" ht="15.75" x14ac:dyDescent="0.25">
      <c r="A230" s="181">
        <v>1</v>
      </c>
      <c r="B230" s="182"/>
      <c r="C230" s="183"/>
      <c r="D230" s="172" t="s">
        <v>76</v>
      </c>
      <c r="E230" s="172"/>
      <c r="F230" s="172"/>
      <c r="G230" s="184">
        <v>104629.34</v>
      </c>
      <c r="H230" s="184"/>
      <c r="I230" s="184"/>
      <c r="J230" s="184">
        <v>104629.34</v>
      </c>
      <c r="K230" s="184"/>
      <c r="L230" s="102">
        <v>110557.3</v>
      </c>
      <c r="M230" s="102">
        <f>J230*100/G230</f>
        <v>100</v>
      </c>
      <c r="N230" s="102">
        <f>J230*100/O230</f>
        <v>100</v>
      </c>
      <c r="O230" s="103">
        <v>104629.34</v>
      </c>
      <c r="P230" s="61"/>
    </row>
    <row r="231" spans="1:18" ht="15.75" x14ac:dyDescent="0.25">
      <c r="A231" s="181">
        <v>2</v>
      </c>
      <c r="B231" s="182"/>
      <c r="C231" s="183"/>
      <c r="D231" s="172" t="s">
        <v>77</v>
      </c>
      <c r="E231" s="172"/>
      <c r="F231" s="172"/>
      <c r="G231" s="184">
        <v>38500</v>
      </c>
      <c r="H231" s="184"/>
      <c r="I231" s="184"/>
      <c r="J231" s="150">
        <v>5551.58</v>
      </c>
      <c r="K231" s="151"/>
      <c r="L231" s="102">
        <v>17919.919999999998</v>
      </c>
      <c r="M231" s="102">
        <f t="shared" ref="M231:M234" si="10">J231*100/G231</f>
        <v>14.419688311688311</v>
      </c>
      <c r="N231" s="102">
        <f t="shared" ref="N231:N234" si="11">J231*100/O231</f>
        <v>14.419688311688311</v>
      </c>
      <c r="O231" s="103">
        <f>G73</f>
        <v>38500</v>
      </c>
      <c r="P231" s="61"/>
    </row>
    <row r="232" spans="1:18" ht="15.75" x14ac:dyDescent="0.25">
      <c r="A232" s="171">
        <v>3</v>
      </c>
      <c r="B232" s="171"/>
      <c r="C232" s="171"/>
      <c r="D232" s="172" t="s">
        <v>78</v>
      </c>
      <c r="E232" s="172"/>
      <c r="F232" s="172"/>
      <c r="G232" s="184">
        <v>0</v>
      </c>
      <c r="H232" s="184"/>
      <c r="I232" s="184"/>
      <c r="J232" s="150">
        <v>0</v>
      </c>
      <c r="K232" s="151"/>
      <c r="L232" s="102"/>
      <c r="M232" s="102">
        <v>0</v>
      </c>
      <c r="N232" s="102">
        <v>0</v>
      </c>
      <c r="O232" s="103">
        <v>0</v>
      </c>
      <c r="P232" s="61"/>
    </row>
    <row r="233" spans="1:18" ht="15.75" x14ac:dyDescent="0.25">
      <c r="A233" s="171">
        <v>4</v>
      </c>
      <c r="B233" s="171"/>
      <c r="C233" s="171"/>
      <c r="D233" s="172" t="s">
        <v>79</v>
      </c>
      <c r="E233" s="172"/>
      <c r="F233" s="172"/>
      <c r="G233" s="184">
        <v>0</v>
      </c>
      <c r="H233" s="184"/>
      <c r="I233" s="184"/>
      <c r="J233" s="184">
        <v>0</v>
      </c>
      <c r="K233" s="184"/>
      <c r="L233" s="102"/>
      <c r="M233" s="102">
        <v>0</v>
      </c>
      <c r="N233" s="102">
        <v>0</v>
      </c>
      <c r="O233" s="103">
        <v>0</v>
      </c>
      <c r="P233" s="61"/>
    </row>
    <row r="234" spans="1:18" ht="15.75" x14ac:dyDescent="0.25">
      <c r="A234" s="197" t="s">
        <v>54</v>
      </c>
      <c r="B234" s="197"/>
      <c r="C234" s="197"/>
      <c r="D234" s="232"/>
      <c r="E234" s="232"/>
      <c r="F234" s="232"/>
      <c r="G234" s="198">
        <f>SUM(G230:G233)</f>
        <v>143129.34</v>
      </c>
      <c r="H234" s="199"/>
      <c r="I234" s="199"/>
      <c r="J234" s="179">
        <f>SUM(J230:J233)</f>
        <v>110180.92</v>
      </c>
      <c r="K234" s="180"/>
      <c r="L234" s="104">
        <f>SUM(L230:L233)</f>
        <v>128477.22</v>
      </c>
      <c r="M234" s="105">
        <f t="shared" si="10"/>
        <v>76.979967908746033</v>
      </c>
      <c r="N234" s="105">
        <f t="shared" si="11"/>
        <v>76.979967908746033</v>
      </c>
      <c r="O234" s="100">
        <f>SUM(O230:O233)</f>
        <v>143129.34</v>
      </c>
      <c r="P234" s="58"/>
      <c r="R234" s="16"/>
    </row>
    <row r="236" spans="1:18" x14ac:dyDescent="0.25">
      <c r="A236" s="20" t="s">
        <v>84</v>
      </c>
      <c r="O236" t="s">
        <v>125</v>
      </c>
    </row>
    <row r="237" spans="1:18" ht="15.75" x14ac:dyDescent="0.25">
      <c r="A237" s="181" t="s">
        <v>73</v>
      </c>
      <c r="B237" s="182"/>
      <c r="C237" s="183"/>
      <c r="D237" s="227" t="s">
        <v>74</v>
      </c>
      <c r="E237" s="227"/>
      <c r="F237" s="227"/>
      <c r="G237" s="204" t="s">
        <v>75</v>
      </c>
      <c r="H237" s="204"/>
      <c r="I237" s="204"/>
      <c r="J237" s="98" t="s">
        <v>158</v>
      </c>
      <c r="K237" s="98"/>
      <c r="L237" s="101" t="s">
        <v>157</v>
      </c>
      <c r="M237" s="101" t="s">
        <v>134</v>
      </c>
      <c r="N237" s="89" t="s">
        <v>138</v>
      </c>
      <c r="O237" s="89" t="s">
        <v>139</v>
      </c>
      <c r="P237" s="62"/>
    </row>
    <row r="238" spans="1:18" ht="15.75" x14ac:dyDescent="0.25">
      <c r="A238" s="181">
        <v>1</v>
      </c>
      <c r="B238" s="182"/>
      <c r="C238" s="183"/>
      <c r="D238" s="172" t="s">
        <v>76</v>
      </c>
      <c r="E238" s="172"/>
      <c r="F238" s="172"/>
      <c r="G238" s="184">
        <v>85920.43</v>
      </c>
      <c r="H238" s="184"/>
      <c r="I238" s="184"/>
      <c r="J238" s="150">
        <v>85920.43</v>
      </c>
      <c r="K238" s="151"/>
      <c r="L238" s="102">
        <v>86942.82</v>
      </c>
      <c r="M238" s="102">
        <f>J238*100/G238</f>
        <v>100.00000000000001</v>
      </c>
      <c r="N238" s="102">
        <f>J238*100/O238</f>
        <v>100.00000000000001</v>
      </c>
      <c r="O238" s="103">
        <v>85920.43</v>
      </c>
      <c r="P238" s="61"/>
    </row>
    <row r="239" spans="1:18" ht="15.75" x14ac:dyDescent="0.25">
      <c r="A239" s="181">
        <v>2</v>
      </c>
      <c r="B239" s="182"/>
      <c r="C239" s="183"/>
      <c r="D239" s="172" t="s">
        <v>77</v>
      </c>
      <c r="E239" s="172"/>
      <c r="F239" s="172"/>
      <c r="G239" s="184">
        <v>18400</v>
      </c>
      <c r="H239" s="184"/>
      <c r="I239" s="184"/>
      <c r="J239" s="150">
        <v>9666.16</v>
      </c>
      <c r="K239" s="151"/>
      <c r="L239" s="102">
        <v>16760.89</v>
      </c>
      <c r="M239" s="102">
        <f t="shared" ref="M239:M242" si="12">J239*100/G239</f>
        <v>52.533478260869565</v>
      </c>
      <c r="N239" s="102">
        <f t="shared" ref="N239:N242" si="13">J239*100/O239</f>
        <v>52.533478260869565</v>
      </c>
      <c r="O239" s="103">
        <f>G74</f>
        <v>18400</v>
      </c>
      <c r="P239" s="61"/>
    </row>
    <row r="240" spans="1:18" ht="15.75" x14ac:dyDescent="0.25">
      <c r="A240" s="171">
        <v>3</v>
      </c>
      <c r="B240" s="171"/>
      <c r="C240" s="171"/>
      <c r="D240" s="172" t="s">
        <v>78</v>
      </c>
      <c r="E240" s="172"/>
      <c r="F240" s="172"/>
      <c r="G240" s="184">
        <v>0</v>
      </c>
      <c r="H240" s="184"/>
      <c r="I240" s="184"/>
      <c r="J240" s="150">
        <v>0</v>
      </c>
      <c r="K240" s="151"/>
      <c r="L240" s="102"/>
      <c r="M240" s="102">
        <v>0</v>
      </c>
      <c r="N240" s="102">
        <v>0</v>
      </c>
      <c r="O240" s="103">
        <v>0</v>
      </c>
      <c r="P240" s="61"/>
    </row>
    <row r="241" spans="1:19" ht="15.75" x14ac:dyDescent="0.25">
      <c r="A241" s="171">
        <v>4</v>
      </c>
      <c r="B241" s="171"/>
      <c r="C241" s="171"/>
      <c r="D241" s="172" t="s">
        <v>79</v>
      </c>
      <c r="E241" s="172"/>
      <c r="F241" s="172"/>
      <c r="G241" s="184">
        <v>0</v>
      </c>
      <c r="H241" s="184"/>
      <c r="I241" s="184"/>
      <c r="J241" s="150">
        <v>0</v>
      </c>
      <c r="K241" s="151"/>
      <c r="L241" s="102"/>
      <c r="M241" s="102">
        <v>0</v>
      </c>
      <c r="N241" s="102">
        <v>0</v>
      </c>
      <c r="O241" s="103">
        <v>0</v>
      </c>
      <c r="P241" s="61"/>
    </row>
    <row r="242" spans="1:19" ht="15.75" x14ac:dyDescent="0.25">
      <c r="A242" s="197" t="s">
        <v>54</v>
      </c>
      <c r="B242" s="197"/>
      <c r="C242" s="197"/>
      <c r="D242" s="197"/>
      <c r="E242" s="197"/>
      <c r="F242" s="197"/>
      <c r="G242" s="198">
        <f>SUM(G238:G241)</f>
        <v>104320.43</v>
      </c>
      <c r="H242" s="199"/>
      <c r="I242" s="199"/>
      <c r="J242" s="179">
        <f>SUM(J238:J241)</f>
        <v>95586.59</v>
      </c>
      <c r="K242" s="180"/>
      <c r="L242" s="104">
        <f>SUM(L238:L241)</f>
        <v>103703.71</v>
      </c>
      <c r="M242" s="105">
        <f t="shared" si="12"/>
        <v>91.627871932659787</v>
      </c>
      <c r="N242" s="105">
        <f t="shared" si="13"/>
        <v>91.627871932659787</v>
      </c>
      <c r="O242" s="100">
        <f>SUM(O238:O241)</f>
        <v>104320.43</v>
      </c>
      <c r="P242" s="58"/>
      <c r="S242" s="33"/>
    </row>
    <row r="243" spans="1:19" ht="15.75" x14ac:dyDescent="0.25">
      <c r="O243" s="134"/>
      <c r="S243" s="33"/>
    </row>
    <row r="244" spans="1:19" ht="15.75" x14ac:dyDescent="0.25">
      <c r="O244" s="125" t="s">
        <v>219</v>
      </c>
      <c r="S244" s="33"/>
    </row>
    <row r="245" spans="1:19" x14ac:dyDescent="0.25">
      <c r="A245" s="97" t="s">
        <v>85</v>
      </c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 t="s">
        <v>124</v>
      </c>
      <c r="S245" s="33"/>
    </row>
    <row r="246" spans="1:19" ht="15.75" x14ac:dyDescent="0.25">
      <c r="A246" s="181" t="s">
        <v>73</v>
      </c>
      <c r="B246" s="182"/>
      <c r="C246" s="183"/>
      <c r="D246" s="227" t="s">
        <v>74</v>
      </c>
      <c r="E246" s="227"/>
      <c r="F246" s="227"/>
      <c r="G246" s="204" t="s">
        <v>75</v>
      </c>
      <c r="H246" s="204"/>
      <c r="I246" s="204"/>
      <c r="J246" s="185" t="s">
        <v>156</v>
      </c>
      <c r="K246" s="186"/>
      <c r="L246" s="106" t="s">
        <v>159</v>
      </c>
      <c r="M246" s="101" t="s">
        <v>135</v>
      </c>
      <c r="N246" s="89" t="s">
        <v>138</v>
      </c>
      <c r="O246" s="89" t="s">
        <v>139</v>
      </c>
      <c r="P246" s="60"/>
    </row>
    <row r="247" spans="1:19" ht="15.75" x14ac:dyDescent="0.25">
      <c r="A247" s="181">
        <v>1</v>
      </c>
      <c r="B247" s="182"/>
      <c r="C247" s="183"/>
      <c r="D247" s="172" t="s">
        <v>76</v>
      </c>
      <c r="E247" s="172"/>
      <c r="F247" s="172"/>
      <c r="G247" s="184">
        <v>173851.42</v>
      </c>
      <c r="H247" s="184"/>
      <c r="I247" s="184"/>
      <c r="J247" s="150">
        <v>173851.42</v>
      </c>
      <c r="K247" s="151"/>
      <c r="L247" s="102">
        <v>202936.6</v>
      </c>
      <c r="M247" s="102">
        <f>J247*100/G247</f>
        <v>99.999999999999986</v>
      </c>
      <c r="N247" s="102">
        <f>J247*100/O247</f>
        <v>99.999999999999986</v>
      </c>
      <c r="O247" s="103">
        <v>173851.42</v>
      </c>
      <c r="P247" s="61"/>
    </row>
    <row r="248" spans="1:19" ht="15.75" x14ac:dyDescent="0.25">
      <c r="A248" s="181">
        <v>2</v>
      </c>
      <c r="B248" s="182"/>
      <c r="C248" s="183"/>
      <c r="D248" s="172" t="s">
        <v>77</v>
      </c>
      <c r="E248" s="172"/>
      <c r="F248" s="172"/>
      <c r="G248" s="184">
        <v>245529.99</v>
      </c>
      <c r="H248" s="184"/>
      <c r="I248" s="184"/>
      <c r="J248" s="150">
        <v>160244.43</v>
      </c>
      <c r="K248" s="151"/>
      <c r="L248" s="102">
        <v>222479.49</v>
      </c>
      <c r="M248" s="102">
        <f t="shared" ref="M248:M252" si="14">J248*100/G248</f>
        <v>65.264707582157271</v>
      </c>
      <c r="N248" s="102">
        <f t="shared" ref="N248:N252" si="15">J248*100/O248</f>
        <v>65.264707582157271</v>
      </c>
      <c r="O248" s="103">
        <v>245529.99</v>
      </c>
      <c r="P248" s="61"/>
    </row>
    <row r="249" spans="1:19" ht="15.75" x14ac:dyDescent="0.25">
      <c r="A249" s="171">
        <v>3</v>
      </c>
      <c r="B249" s="171"/>
      <c r="C249" s="171"/>
      <c r="D249" s="172" t="s">
        <v>78</v>
      </c>
      <c r="E249" s="172"/>
      <c r="F249" s="172"/>
      <c r="G249" s="184">
        <v>127066.01</v>
      </c>
      <c r="H249" s="184"/>
      <c r="I249" s="184"/>
      <c r="J249" s="150">
        <v>123599.53</v>
      </c>
      <c r="K249" s="151"/>
      <c r="L249" s="102">
        <v>85491.79</v>
      </c>
      <c r="M249" s="102">
        <f t="shared" si="14"/>
        <v>97.271906153345029</v>
      </c>
      <c r="N249" s="102">
        <f t="shared" si="15"/>
        <v>97.271906153345029</v>
      </c>
      <c r="O249" s="103">
        <v>127066.01</v>
      </c>
      <c r="P249" s="61"/>
    </row>
    <row r="250" spans="1:19" ht="15.75" x14ac:dyDescent="0.25">
      <c r="A250" s="171">
        <v>4</v>
      </c>
      <c r="B250" s="171"/>
      <c r="C250" s="171"/>
      <c r="D250" s="172" t="s">
        <v>79</v>
      </c>
      <c r="E250" s="172"/>
      <c r="F250" s="172"/>
      <c r="G250" s="184">
        <f>68000+90000+92.94</f>
        <v>158092.94</v>
      </c>
      <c r="H250" s="184"/>
      <c r="I250" s="184"/>
      <c r="J250" s="150">
        <f>68000+58050</f>
        <v>126050</v>
      </c>
      <c r="K250" s="151"/>
      <c r="L250" s="102">
        <v>6273.69</v>
      </c>
      <c r="M250" s="102">
        <f t="shared" si="14"/>
        <v>79.731580676531152</v>
      </c>
      <c r="N250" s="102">
        <f t="shared" si="15"/>
        <v>79.731580676531152</v>
      </c>
      <c r="O250" s="103">
        <f>68000+90000+92.94</f>
        <v>158092.94</v>
      </c>
      <c r="P250" s="61"/>
    </row>
    <row r="251" spans="1:19" ht="15.75" x14ac:dyDescent="0.25">
      <c r="A251" s="171">
        <v>5</v>
      </c>
      <c r="B251" s="171"/>
      <c r="C251" s="171"/>
      <c r="D251" s="172" t="s">
        <v>80</v>
      </c>
      <c r="E251" s="172"/>
      <c r="F251" s="172"/>
      <c r="G251" s="184">
        <f>11000+20000+20000+20000+19250+3500+23000+20000+7000+764+3813.48+1640.4+13505.13</f>
        <v>163473.01</v>
      </c>
      <c r="H251" s="184"/>
      <c r="I251" s="184"/>
      <c r="J251" s="150">
        <f>11000+16211.23+19442.63+19997.01+19250+3499.6+20835.37+20000+3933.59+574+3333+1574.8</f>
        <v>139651.22999999998</v>
      </c>
      <c r="K251" s="151"/>
      <c r="L251" s="102">
        <v>115644.26</v>
      </c>
      <c r="M251" s="102">
        <f t="shared" si="14"/>
        <v>85.427698431686039</v>
      </c>
      <c r="N251" s="102">
        <f t="shared" si="15"/>
        <v>84.267857553395856</v>
      </c>
      <c r="O251" s="103">
        <f>71000+75000+19723.01</f>
        <v>165723.01</v>
      </c>
      <c r="P251" s="61"/>
    </row>
    <row r="252" spans="1:19" ht="15.75" x14ac:dyDescent="0.25">
      <c r="A252" s="197" t="s">
        <v>54</v>
      </c>
      <c r="B252" s="197"/>
      <c r="C252" s="197"/>
      <c r="D252" s="197"/>
      <c r="E252" s="197"/>
      <c r="F252" s="197"/>
      <c r="G252" s="198">
        <f>SUM(G247:G251)</f>
        <v>868013.37000000011</v>
      </c>
      <c r="H252" s="199"/>
      <c r="I252" s="199"/>
      <c r="J252" s="179">
        <f>SUM(J247:J251)</f>
        <v>723396.61</v>
      </c>
      <c r="K252" s="180"/>
      <c r="L252" s="104">
        <f>SUM(L247:L251)</f>
        <v>632825.82999999996</v>
      </c>
      <c r="M252" s="104">
        <f t="shared" si="14"/>
        <v>83.339339577223328</v>
      </c>
      <c r="N252" s="104">
        <f t="shared" si="15"/>
        <v>83.123872029682218</v>
      </c>
      <c r="O252" s="100">
        <f>SUM(O247:O251)</f>
        <v>870263.37000000011</v>
      </c>
      <c r="P252" s="58"/>
    </row>
    <row r="253" spans="1:19" x14ac:dyDescent="0.25">
      <c r="O253" s="49"/>
      <c r="P253" s="40"/>
    </row>
    <row r="254" spans="1:19" x14ac:dyDescent="0.25">
      <c r="A254" s="97" t="s">
        <v>86</v>
      </c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 t="s">
        <v>123</v>
      </c>
    </row>
    <row r="255" spans="1:19" ht="15.75" x14ac:dyDescent="0.25">
      <c r="A255" s="181" t="s">
        <v>73</v>
      </c>
      <c r="B255" s="182"/>
      <c r="C255" s="183"/>
      <c r="D255" s="227" t="s">
        <v>74</v>
      </c>
      <c r="E255" s="227"/>
      <c r="F255" s="227"/>
      <c r="G255" s="204" t="s">
        <v>75</v>
      </c>
      <c r="H255" s="204"/>
      <c r="I255" s="204"/>
      <c r="J255" s="185" t="s">
        <v>158</v>
      </c>
      <c r="K255" s="186"/>
      <c r="L255" s="101" t="s">
        <v>157</v>
      </c>
      <c r="M255" s="101" t="s">
        <v>135</v>
      </c>
      <c r="N255" s="89" t="s">
        <v>138</v>
      </c>
      <c r="O255" s="89" t="s">
        <v>139</v>
      </c>
      <c r="P255" s="62"/>
    </row>
    <row r="256" spans="1:19" ht="15.75" x14ac:dyDescent="0.25">
      <c r="A256" s="181">
        <v>1</v>
      </c>
      <c r="B256" s="182"/>
      <c r="C256" s="183"/>
      <c r="D256" s="172" t="s">
        <v>76</v>
      </c>
      <c r="E256" s="172"/>
      <c r="F256" s="172"/>
      <c r="G256" s="184">
        <v>39593.629999999997</v>
      </c>
      <c r="H256" s="184"/>
      <c r="I256" s="184"/>
      <c r="J256" s="150">
        <v>39593.629999999997</v>
      </c>
      <c r="K256" s="151"/>
      <c r="L256" s="102">
        <v>40406.39</v>
      </c>
      <c r="M256" s="102">
        <f>J256*100/G256</f>
        <v>100</v>
      </c>
      <c r="N256" s="102">
        <f>J256*100/O256</f>
        <v>100</v>
      </c>
      <c r="O256" s="103">
        <v>39593.629999999997</v>
      </c>
      <c r="P256" s="61"/>
      <c r="R256" s="17"/>
      <c r="S256" s="17"/>
    </row>
    <row r="257" spans="1:19" ht="15.75" x14ac:dyDescent="0.25">
      <c r="A257" s="181">
        <v>2</v>
      </c>
      <c r="B257" s="182"/>
      <c r="C257" s="183"/>
      <c r="D257" s="172" t="s">
        <v>77</v>
      </c>
      <c r="E257" s="172"/>
      <c r="F257" s="172"/>
      <c r="G257" s="184">
        <v>25750</v>
      </c>
      <c r="H257" s="184"/>
      <c r="I257" s="184"/>
      <c r="J257" s="150">
        <v>11150.39</v>
      </c>
      <c r="K257" s="151"/>
      <c r="L257" s="102">
        <v>7784.33</v>
      </c>
      <c r="M257" s="102">
        <f t="shared" ref="M257:M261" si="16">J257*100/G257</f>
        <v>43.302485436893207</v>
      </c>
      <c r="N257" s="102">
        <f t="shared" ref="N257:N261" si="17">J257*100/O257</f>
        <v>43.302485436893207</v>
      </c>
      <c r="O257" s="103">
        <v>25750</v>
      </c>
      <c r="P257" s="61"/>
    </row>
    <row r="258" spans="1:19" ht="15.75" x14ac:dyDescent="0.25">
      <c r="A258" s="171">
        <v>3</v>
      </c>
      <c r="B258" s="171"/>
      <c r="C258" s="171"/>
      <c r="D258" s="172" t="s">
        <v>78</v>
      </c>
      <c r="E258" s="172"/>
      <c r="F258" s="172"/>
      <c r="G258" s="184">
        <v>0</v>
      </c>
      <c r="H258" s="184"/>
      <c r="I258" s="184"/>
      <c r="J258" s="150">
        <v>0</v>
      </c>
      <c r="K258" s="151"/>
      <c r="L258" s="102"/>
      <c r="M258" s="102">
        <v>0</v>
      </c>
      <c r="N258" s="102">
        <v>0</v>
      </c>
      <c r="O258" s="103">
        <v>0</v>
      </c>
      <c r="P258" s="61"/>
    </row>
    <row r="259" spans="1:19" ht="15.75" x14ac:dyDescent="0.25">
      <c r="A259" s="171">
        <v>4</v>
      </c>
      <c r="B259" s="171"/>
      <c r="C259" s="171"/>
      <c r="D259" s="172" t="s">
        <v>79</v>
      </c>
      <c r="E259" s="172"/>
      <c r="F259" s="172"/>
      <c r="G259" s="184">
        <v>0</v>
      </c>
      <c r="H259" s="184"/>
      <c r="I259" s="184"/>
      <c r="J259" s="150">
        <v>0</v>
      </c>
      <c r="K259" s="151"/>
      <c r="L259" s="102"/>
      <c r="M259" s="102">
        <v>0</v>
      </c>
      <c r="N259" s="102">
        <v>0</v>
      </c>
      <c r="O259" s="103">
        <v>0</v>
      </c>
      <c r="P259" s="61"/>
      <c r="Q259" s="16"/>
    </row>
    <row r="260" spans="1:19" ht="15.75" x14ac:dyDescent="0.25">
      <c r="A260" s="171">
        <v>5</v>
      </c>
      <c r="B260" s="171"/>
      <c r="C260" s="171"/>
      <c r="D260" s="172" t="s">
        <v>80</v>
      </c>
      <c r="E260" s="172"/>
      <c r="F260" s="172"/>
      <c r="G260" s="184">
        <f>1635589+15000+111889.03+100000+50000+50000+25000+50000+25000+25000+20000+50000+50000+50000+80000+130000+50000+40000+50000+30279.1+50000+40000+40000+50000+50000+50000+80000+50000+520672.51</f>
        <v>3568429.6400000006</v>
      </c>
      <c r="H260" s="184"/>
      <c r="I260" s="184"/>
      <c r="J260" s="150">
        <f>1563414.1+843.53+111889.03+93300.46+44135+27889.5+25000+48739.11+25000+25000+20000+12554.25+50000+29338.98+69341.04+25521.1+38323+50000+30279.1+49996.1+40000+39957.95+45469+34579.5+50000+79619.41+50000+520613</f>
        <v>3200803.1600000006</v>
      </c>
      <c r="K260" s="151"/>
      <c r="L260" s="102">
        <v>3568726.43</v>
      </c>
      <c r="M260" s="102">
        <f t="shared" si="16"/>
        <v>89.697807800968718</v>
      </c>
      <c r="N260" s="102">
        <f t="shared" si="17"/>
        <v>88.260507856273534</v>
      </c>
      <c r="O260" s="103">
        <f>1635589+680000+790279.1+520672.51</f>
        <v>3626540.6100000003</v>
      </c>
      <c r="P260" s="64"/>
      <c r="Q260" s="16"/>
    </row>
    <row r="261" spans="1:19" ht="15.75" x14ac:dyDescent="0.25">
      <c r="A261" s="197" t="s">
        <v>54</v>
      </c>
      <c r="B261" s="197"/>
      <c r="C261" s="197"/>
      <c r="D261" s="197"/>
      <c r="E261" s="197"/>
      <c r="F261" s="197"/>
      <c r="G261" s="198">
        <f>SUM(G256:G260)</f>
        <v>3633773.2700000005</v>
      </c>
      <c r="H261" s="199"/>
      <c r="I261" s="199"/>
      <c r="J261" s="179">
        <f>SUM(J256:J260)</f>
        <v>3251547.1800000006</v>
      </c>
      <c r="K261" s="180"/>
      <c r="L261" s="104">
        <f>SUM(L256:L260)</f>
        <v>3616917.1500000004</v>
      </c>
      <c r="M261" s="104">
        <f t="shared" si="16"/>
        <v>89.481289513696055</v>
      </c>
      <c r="N261" s="104">
        <f t="shared" si="17"/>
        <v>88.072836758283628</v>
      </c>
      <c r="O261" s="100">
        <f>SUM(O256:O260)</f>
        <v>3691884.24</v>
      </c>
      <c r="P261" s="65"/>
      <c r="Q261" s="16"/>
      <c r="S261" s="16"/>
    </row>
    <row r="262" spans="1:19" x14ac:dyDescent="0.25">
      <c r="O262" s="31"/>
      <c r="P262" s="117"/>
    </row>
    <row r="263" spans="1:19" x14ac:dyDescent="0.25">
      <c r="A263" s="97" t="s">
        <v>87</v>
      </c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 t="s">
        <v>122</v>
      </c>
    </row>
    <row r="264" spans="1:19" ht="15.75" x14ac:dyDescent="0.25">
      <c r="A264" s="181" t="s">
        <v>73</v>
      </c>
      <c r="B264" s="182"/>
      <c r="C264" s="183"/>
      <c r="D264" s="227" t="s">
        <v>74</v>
      </c>
      <c r="E264" s="227"/>
      <c r="F264" s="227"/>
      <c r="G264" s="204" t="s">
        <v>75</v>
      </c>
      <c r="H264" s="204"/>
      <c r="I264" s="204"/>
      <c r="J264" s="185" t="s">
        <v>158</v>
      </c>
      <c r="K264" s="186"/>
      <c r="L264" s="101" t="s">
        <v>157</v>
      </c>
      <c r="M264" s="101" t="s">
        <v>135</v>
      </c>
      <c r="N264" s="89" t="s">
        <v>138</v>
      </c>
      <c r="O264" s="89" t="s">
        <v>139</v>
      </c>
      <c r="P264" s="60"/>
    </row>
    <row r="265" spans="1:19" ht="15.75" x14ac:dyDescent="0.25">
      <c r="A265" s="181">
        <v>1</v>
      </c>
      <c r="B265" s="182"/>
      <c r="C265" s="183"/>
      <c r="D265" s="172" t="s">
        <v>76</v>
      </c>
      <c r="E265" s="172"/>
      <c r="F265" s="172"/>
      <c r="G265" s="184">
        <v>7947.57</v>
      </c>
      <c r="H265" s="184"/>
      <c r="I265" s="184"/>
      <c r="J265" s="150">
        <v>7947.57</v>
      </c>
      <c r="K265" s="151"/>
      <c r="L265" s="102">
        <v>3300.2</v>
      </c>
      <c r="M265" s="102">
        <f>J265*100/G265</f>
        <v>100</v>
      </c>
      <c r="N265" s="102">
        <f>J265*100/O265</f>
        <v>100</v>
      </c>
      <c r="O265" s="103">
        <v>7947.57</v>
      </c>
      <c r="P265" s="61"/>
      <c r="R265" s="17"/>
    </row>
    <row r="266" spans="1:19" ht="15.75" x14ac:dyDescent="0.25">
      <c r="A266" s="181">
        <v>2</v>
      </c>
      <c r="B266" s="182"/>
      <c r="C266" s="183"/>
      <c r="D266" s="172" t="s">
        <v>77</v>
      </c>
      <c r="E266" s="172"/>
      <c r="F266" s="172"/>
      <c r="G266" s="184">
        <v>690</v>
      </c>
      <c r="H266" s="184"/>
      <c r="I266" s="184"/>
      <c r="J266" s="150">
        <v>534.95000000000005</v>
      </c>
      <c r="K266" s="151"/>
      <c r="L266" s="102">
        <v>618.20000000000005</v>
      </c>
      <c r="M266" s="102">
        <f t="shared" ref="M266:M269" si="18">J266*100/G266</f>
        <v>77.528985507246389</v>
      </c>
      <c r="N266" s="102">
        <f t="shared" ref="N266:N269" si="19">J266*100/O266</f>
        <v>77.528985507246389</v>
      </c>
      <c r="O266" s="103">
        <f>G77</f>
        <v>690</v>
      </c>
      <c r="P266" s="61"/>
    </row>
    <row r="267" spans="1:19" ht="15.75" x14ac:dyDescent="0.25">
      <c r="A267" s="171">
        <v>3</v>
      </c>
      <c r="B267" s="171"/>
      <c r="C267" s="171"/>
      <c r="D267" s="172" t="s">
        <v>78</v>
      </c>
      <c r="E267" s="172"/>
      <c r="F267" s="172"/>
      <c r="G267" s="184">
        <v>0</v>
      </c>
      <c r="H267" s="184"/>
      <c r="I267" s="184"/>
      <c r="J267" s="150">
        <v>0</v>
      </c>
      <c r="K267" s="151"/>
      <c r="L267" s="102">
        <v>0</v>
      </c>
      <c r="M267" s="102">
        <v>0</v>
      </c>
      <c r="N267" s="102">
        <v>0</v>
      </c>
      <c r="O267" s="103">
        <v>0</v>
      </c>
      <c r="P267" s="61"/>
    </row>
    <row r="268" spans="1:19" ht="15.75" x14ac:dyDescent="0.25">
      <c r="A268" s="171">
        <v>4</v>
      </c>
      <c r="B268" s="171"/>
      <c r="C268" s="171"/>
      <c r="D268" s="172" t="s">
        <v>79</v>
      </c>
      <c r="E268" s="172"/>
      <c r="F268" s="172"/>
      <c r="G268" s="184">
        <v>0</v>
      </c>
      <c r="H268" s="184"/>
      <c r="I268" s="184"/>
      <c r="J268" s="150">
        <v>0</v>
      </c>
      <c r="K268" s="151"/>
      <c r="L268" s="102">
        <v>0</v>
      </c>
      <c r="M268" s="102">
        <v>0</v>
      </c>
      <c r="N268" s="102">
        <v>0</v>
      </c>
      <c r="O268" s="103">
        <v>0</v>
      </c>
      <c r="P268" s="61"/>
    </row>
    <row r="269" spans="1:19" ht="15.75" x14ac:dyDescent="0.25">
      <c r="A269" s="197" t="s">
        <v>54</v>
      </c>
      <c r="B269" s="197"/>
      <c r="C269" s="197"/>
      <c r="D269" s="197"/>
      <c r="E269" s="197"/>
      <c r="F269" s="197"/>
      <c r="G269" s="198">
        <f>SUM(G265:G268)</f>
        <v>8637.57</v>
      </c>
      <c r="H269" s="199"/>
      <c r="I269" s="199"/>
      <c r="J269" s="179">
        <f>SUM(J265:J268)</f>
        <v>8482.52</v>
      </c>
      <c r="K269" s="180"/>
      <c r="L269" s="104">
        <f>SUM(L265:L268)</f>
        <v>3918.3999999999996</v>
      </c>
      <c r="M269" s="105">
        <f t="shared" si="18"/>
        <v>98.204934952770287</v>
      </c>
      <c r="N269" s="104">
        <f t="shared" si="19"/>
        <v>98.204934952770287</v>
      </c>
      <c r="O269" s="100">
        <f>SUM(O265:O268)</f>
        <v>8637.57</v>
      </c>
      <c r="P269" s="65"/>
    </row>
    <row r="271" spans="1:19" x14ac:dyDescent="0.25">
      <c r="A271" s="97" t="s">
        <v>88</v>
      </c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 t="s">
        <v>121</v>
      </c>
    </row>
    <row r="272" spans="1:19" ht="15.75" x14ac:dyDescent="0.25">
      <c r="A272" s="181" t="s">
        <v>73</v>
      </c>
      <c r="B272" s="182"/>
      <c r="C272" s="183"/>
      <c r="D272" s="227" t="s">
        <v>74</v>
      </c>
      <c r="E272" s="227"/>
      <c r="F272" s="227"/>
      <c r="G272" s="204" t="s">
        <v>75</v>
      </c>
      <c r="H272" s="204"/>
      <c r="I272" s="204"/>
      <c r="J272" s="185" t="s">
        <v>158</v>
      </c>
      <c r="K272" s="186"/>
      <c r="L272" s="101" t="s">
        <v>157</v>
      </c>
      <c r="M272" s="101" t="s">
        <v>132</v>
      </c>
      <c r="N272" s="89" t="s">
        <v>138</v>
      </c>
      <c r="O272" s="89" t="s">
        <v>139</v>
      </c>
      <c r="P272" s="60"/>
    </row>
    <row r="273" spans="1:17" ht="15.75" x14ac:dyDescent="0.25">
      <c r="A273" s="181">
        <v>1</v>
      </c>
      <c r="B273" s="182"/>
      <c r="C273" s="183"/>
      <c r="D273" s="172" t="s">
        <v>76</v>
      </c>
      <c r="E273" s="172"/>
      <c r="F273" s="172"/>
      <c r="G273" s="184">
        <v>60679.08</v>
      </c>
      <c r="H273" s="184"/>
      <c r="I273" s="184"/>
      <c r="J273" s="184">
        <v>60679.08</v>
      </c>
      <c r="K273" s="184"/>
      <c r="L273" s="102">
        <v>66874.48</v>
      </c>
      <c r="M273" s="102">
        <f>J273*100/G273</f>
        <v>100</v>
      </c>
      <c r="N273" s="102">
        <f>J273*100/O273</f>
        <v>100</v>
      </c>
      <c r="O273" s="103">
        <v>60679.08</v>
      </c>
      <c r="P273" s="61"/>
      <c r="Q273" s="16"/>
    </row>
    <row r="274" spans="1:17" ht="15.75" x14ac:dyDescent="0.25">
      <c r="A274" s="181">
        <v>2</v>
      </c>
      <c r="B274" s="182"/>
      <c r="C274" s="183"/>
      <c r="D274" s="172" t="s">
        <v>77</v>
      </c>
      <c r="E274" s="172"/>
      <c r="F274" s="172"/>
      <c r="G274" s="184">
        <v>11740</v>
      </c>
      <c r="H274" s="184"/>
      <c r="I274" s="184"/>
      <c r="J274" s="150">
        <v>11390.41</v>
      </c>
      <c r="K274" s="151"/>
      <c r="L274" s="102">
        <v>10405.44</v>
      </c>
      <c r="M274" s="102">
        <f t="shared" ref="M274:M278" si="20">J274*100/G274</f>
        <v>97.022231686541744</v>
      </c>
      <c r="N274" s="102">
        <f t="shared" ref="N274:N278" si="21">J274*100/O274</f>
        <v>97.022231686541744</v>
      </c>
      <c r="O274" s="103">
        <f>G78</f>
        <v>11740</v>
      </c>
      <c r="P274" s="61"/>
    </row>
    <row r="275" spans="1:17" ht="15.75" x14ac:dyDescent="0.25">
      <c r="A275" s="171">
        <v>3</v>
      </c>
      <c r="B275" s="171"/>
      <c r="C275" s="171"/>
      <c r="D275" s="172" t="s">
        <v>78</v>
      </c>
      <c r="E275" s="172"/>
      <c r="F275" s="172"/>
      <c r="G275" s="184">
        <v>0</v>
      </c>
      <c r="H275" s="184"/>
      <c r="I275" s="184"/>
      <c r="J275" s="150">
        <v>0</v>
      </c>
      <c r="K275" s="151"/>
      <c r="L275" s="102">
        <v>0</v>
      </c>
      <c r="M275" s="102">
        <v>0</v>
      </c>
      <c r="N275" s="102">
        <v>0</v>
      </c>
      <c r="O275" s="103">
        <v>0</v>
      </c>
      <c r="P275" s="61"/>
    </row>
    <row r="276" spans="1:17" ht="15.75" x14ac:dyDescent="0.25">
      <c r="A276" s="171">
        <v>4</v>
      </c>
      <c r="B276" s="171"/>
      <c r="C276" s="171"/>
      <c r="D276" s="172" t="s">
        <v>79</v>
      </c>
      <c r="E276" s="172"/>
      <c r="F276" s="172"/>
      <c r="G276" s="184">
        <f>38414.24+1912.3+1368</f>
        <v>41694.54</v>
      </c>
      <c r="H276" s="184"/>
      <c r="I276" s="184"/>
      <c r="J276" s="150">
        <f>38323+1912.3+1368</f>
        <v>41603.300000000003</v>
      </c>
      <c r="K276" s="151"/>
      <c r="L276" s="102">
        <v>46816.95</v>
      </c>
      <c r="M276" s="102">
        <v>0</v>
      </c>
      <c r="N276" s="102">
        <f t="shared" si="21"/>
        <v>87.992884985924377</v>
      </c>
      <c r="O276" s="103">
        <f>44000+1912.3+1368</f>
        <v>47280.3</v>
      </c>
      <c r="P276" s="61"/>
    </row>
    <row r="277" spans="1:17" ht="15.75" x14ac:dyDescent="0.25">
      <c r="A277" s="171">
        <v>5</v>
      </c>
      <c r="B277" s="171"/>
      <c r="C277" s="171"/>
      <c r="D277" s="172" t="s">
        <v>80</v>
      </c>
      <c r="E277" s="172"/>
      <c r="F277" s="172"/>
      <c r="G277" s="184">
        <f>8721.46+1991+230.6+0.35+0.8+608.64+300</f>
        <v>11852.849999999999</v>
      </c>
      <c r="H277" s="184"/>
      <c r="I277" s="184"/>
      <c r="J277" s="150">
        <f>7731.6+1908</f>
        <v>9639.6</v>
      </c>
      <c r="K277" s="151"/>
      <c r="L277" s="102">
        <v>20350.62</v>
      </c>
      <c r="M277" s="102">
        <f t="shared" si="20"/>
        <v>81.327275718498086</v>
      </c>
      <c r="N277" s="102">
        <v>0</v>
      </c>
      <c r="O277" s="103">
        <v>11852.85</v>
      </c>
      <c r="P277" s="66"/>
    </row>
    <row r="278" spans="1:17" ht="15.75" x14ac:dyDescent="0.25">
      <c r="A278" s="197" t="s">
        <v>54</v>
      </c>
      <c r="B278" s="197"/>
      <c r="C278" s="197"/>
      <c r="D278" s="197"/>
      <c r="E278" s="197"/>
      <c r="F278" s="197"/>
      <c r="G278" s="198">
        <f>SUM(G273:G277)</f>
        <v>125966.47</v>
      </c>
      <c r="H278" s="199"/>
      <c r="I278" s="199"/>
      <c r="J278" s="179">
        <f>SUM(J273:J277)</f>
        <v>123312.39000000001</v>
      </c>
      <c r="K278" s="180"/>
      <c r="L278" s="104">
        <f>SUM(L273:L277)</f>
        <v>144447.49</v>
      </c>
      <c r="M278" s="105">
        <f t="shared" si="20"/>
        <v>97.893026612558103</v>
      </c>
      <c r="N278" s="105">
        <f t="shared" si="21"/>
        <v>93.736449773599432</v>
      </c>
      <c r="O278" s="100">
        <f>SUM(O273:O277)</f>
        <v>131552.23000000001</v>
      </c>
      <c r="P278" s="65"/>
    </row>
    <row r="279" spans="1:17" ht="15.75" x14ac:dyDescent="0.25">
      <c r="O279" s="124">
        <v>7</v>
      </c>
    </row>
    <row r="280" spans="1:17" x14ac:dyDescent="0.25">
      <c r="A280" s="97" t="s">
        <v>103</v>
      </c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107" t="s">
        <v>120</v>
      </c>
    </row>
    <row r="281" spans="1:17" ht="15.75" x14ac:dyDescent="0.25">
      <c r="A281" s="181" t="s">
        <v>73</v>
      </c>
      <c r="B281" s="182"/>
      <c r="C281" s="183"/>
      <c r="D281" s="227" t="s">
        <v>74</v>
      </c>
      <c r="E281" s="227"/>
      <c r="F281" s="227"/>
      <c r="G281" s="204" t="s">
        <v>75</v>
      </c>
      <c r="H281" s="204"/>
      <c r="I281" s="204"/>
      <c r="J281" s="185" t="s">
        <v>158</v>
      </c>
      <c r="K281" s="186"/>
      <c r="L281" s="101" t="s">
        <v>157</v>
      </c>
      <c r="M281" s="101" t="s">
        <v>135</v>
      </c>
      <c r="N281" s="89" t="s">
        <v>138</v>
      </c>
      <c r="O281" s="89" t="s">
        <v>139</v>
      </c>
      <c r="P281" s="60"/>
    </row>
    <row r="282" spans="1:17" ht="15.75" x14ac:dyDescent="0.25">
      <c r="A282" s="181">
        <v>1</v>
      </c>
      <c r="B282" s="182"/>
      <c r="C282" s="183"/>
      <c r="D282" s="172" t="s">
        <v>76</v>
      </c>
      <c r="E282" s="172"/>
      <c r="F282" s="172"/>
      <c r="G282" s="184">
        <v>39323.54</v>
      </c>
      <c r="H282" s="184"/>
      <c r="I282" s="184"/>
      <c r="J282" s="150">
        <v>39323.54</v>
      </c>
      <c r="K282" s="151"/>
      <c r="L282" s="102">
        <v>39055.230000000003</v>
      </c>
      <c r="M282" s="102">
        <f>J282*100/G282</f>
        <v>100</v>
      </c>
      <c r="N282" s="102">
        <f>J282*100/O282</f>
        <v>100</v>
      </c>
      <c r="O282" s="103">
        <v>39323.54</v>
      </c>
      <c r="P282" s="61"/>
    </row>
    <row r="283" spans="1:17" ht="15.75" x14ac:dyDescent="0.25">
      <c r="A283" s="181">
        <v>2</v>
      </c>
      <c r="B283" s="182"/>
      <c r="C283" s="183"/>
      <c r="D283" s="172" t="s">
        <v>77</v>
      </c>
      <c r="E283" s="172"/>
      <c r="F283" s="172"/>
      <c r="G283" s="184">
        <v>25750</v>
      </c>
      <c r="H283" s="184"/>
      <c r="I283" s="184"/>
      <c r="J283" s="150">
        <v>19772.349999999999</v>
      </c>
      <c r="K283" s="151"/>
      <c r="L283" s="102">
        <v>18465.88</v>
      </c>
      <c r="M283" s="102">
        <f t="shared" ref="M283:M286" si="22">J283*100/G283</f>
        <v>76.785825242718431</v>
      </c>
      <c r="N283" s="102">
        <f t="shared" ref="N283" si="23">J283*100/O283</f>
        <v>76.785825242718431</v>
      </c>
      <c r="O283" s="103">
        <f>G79</f>
        <v>25750</v>
      </c>
      <c r="P283" s="61"/>
    </row>
    <row r="284" spans="1:17" ht="15.75" x14ac:dyDescent="0.25">
      <c r="A284" s="171">
        <v>3</v>
      </c>
      <c r="B284" s="171"/>
      <c r="C284" s="171"/>
      <c r="D284" s="172" t="s">
        <v>78</v>
      </c>
      <c r="E284" s="172"/>
      <c r="F284" s="172"/>
      <c r="G284" s="184">
        <v>0</v>
      </c>
      <c r="H284" s="184"/>
      <c r="I284" s="184"/>
      <c r="J284" s="150">
        <v>0</v>
      </c>
      <c r="K284" s="151"/>
      <c r="L284" s="102">
        <v>0</v>
      </c>
      <c r="M284" s="102">
        <v>0</v>
      </c>
      <c r="N284" s="102">
        <v>0</v>
      </c>
      <c r="O284" s="103">
        <v>0</v>
      </c>
      <c r="P284" s="61"/>
    </row>
    <row r="285" spans="1:17" ht="15.75" x14ac:dyDescent="0.25">
      <c r="A285" s="171">
        <v>4</v>
      </c>
      <c r="B285" s="171"/>
      <c r="C285" s="171"/>
      <c r="D285" s="172" t="s">
        <v>79</v>
      </c>
      <c r="E285" s="172"/>
      <c r="F285" s="172"/>
      <c r="G285" s="184"/>
      <c r="H285" s="184"/>
      <c r="I285" s="184"/>
      <c r="J285" s="150"/>
      <c r="K285" s="151"/>
      <c r="L285" s="102">
        <v>0</v>
      </c>
      <c r="M285" s="102">
        <v>0</v>
      </c>
      <c r="N285" s="102">
        <v>0</v>
      </c>
      <c r="O285" s="103">
        <v>20000</v>
      </c>
      <c r="P285" s="61"/>
    </row>
    <row r="286" spans="1:17" ht="15.75" x14ac:dyDescent="0.25">
      <c r="A286" s="197" t="s">
        <v>54</v>
      </c>
      <c r="B286" s="197"/>
      <c r="C286" s="197"/>
      <c r="D286" s="232"/>
      <c r="E286" s="232"/>
      <c r="F286" s="232"/>
      <c r="G286" s="198">
        <f>SUM(G282:G285)</f>
        <v>65073.54</v>
      </c>
      <c r="H286" s="199"/>
      <c r="I286" s="199"/>
      <c r="J286" s="179">
        <f>SUM(J282:J285)</f>
        <v>59095.89</v>
      </c>
      <c r="K286" s="180"/>
      <c r="L286" s="104">
        <f>SUM(L282:L285)</f>
        <v>57521.11</v>
      </c>
      <c r="M286" s="105">
        <f t="shared" si="22"/>
        <v>90.81400827433086</v>
      </c>
      <c r="N286" s="105">
        <f>J286*100/O286</f>
        <v>69.46447743916616</v>
      </c>
      <c r="O286" s="100">
        <f>SUM(O282:O285)</f>
        <v>85073.540000000008</v>
      </c>
      <c r="P286" s="65"/>
    </row>
    <row r="288" spans="1:17" x14ac:dyDescent="0.25">
      <c r="A288" s="97" t="s">
        <v>89</v>
      </c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107" t="s">
        <v>119</v>
      </c>
    </row>
    <row r="289" spans="1:18" ht="15.75" x14ac:dyDescent="0.25">
      <c r="A289" s="181" t="s">
        <v>73</v>
      </c>
      <c r="B289" s="182"/>
      <c r="C289" s="183"/>
      <c r="D289" s="227" t="s">
        <v>74</v>
      </c>
      <c r="E289" s="227"/>
      <c r="F289" s="227"/>
      <c r="G289" s="204" t="s">
        <v>75</v>
      </c>
      <c r="H289" s="204"/>
      <c r="I289" s="204"/>
      <c r="J289" s="224" t="s">
        <v>156</v>
      </c>
      <c r="K289" s="225"/>
      <c r="L289" s="106" t="s">
        <v>159</v>
      </c>
      <c r="M289" s="101" t="s">
        <v>132</v>
      </c>
      <c r="N289" s="89" t="s">
        <v>138</v>
      </c>
      <c r="O289" s="89" t="s">
        <v>139</v>
      </c>
      <c r="P289" s="60"/>
    </row>
    <row r="290" spans="1:18" ht="15.75" x14ac:dyDescent="0.25">
      <c r="A290" s="181">
        <v>1</v>
      </c>
      <c r="B290" s="182"/>
      <c r="C290" s="183"/>
      <c r="D290" s="172" t="s">
        <v>76</v>
      </c>
      <c r="E290" s="172"/>
      <c r="F290" s="172"/>
      <c r="G290" s="184">
        <v>59018</v>
      </c>
      <c r="H290" s="184"/>
      <c r="I290" s="184"/>
      <c r="J290" s="150">
        <v>59018</v>
      </c>
      <c r="K290" s="151"/>
      <c r="L290" s="102">
        <v>64179.32</v>
      </c>
      <c r="M290" s="102">
        <f>J290*100/G290</f>
        <v>100</v>
      </c>
      <c r="N290" s="102">
        <f>J290*100/O290</f>
        <v>100</v>
      </c>
      <c r="O290" s="103">
        <v>59018</v>
      </c>
      <c r="P290" s="61"/>
    </row>
    <row r="291" spans="1:18" ht="15.75" x14ac:dyDescent="0.25">
      <c r="A291" s="181">
        <v>2</v>
      </c>
      <c r="B291" s="182"/>
      <c r="C291" s="183"/>
      <c r="D291" s="172" t="s">
        <v>77</v>
      </c>
      <c r="E291" s="172"/>
      <c r="F291" s="172"/>
      <c r="G291" s="184">
        <v>10550</v>
      </c>
      <c r="H291" s="184"/>
      <c r="I291" s="184"/>
      <c r="J291" s="150">
        <v>8493.0400000000009</v>
      </c>
      <c r="K291" s="151"/>
      <c r="L291" s="102">
        <v>4836.3900000000003</v>
      </c>
      <c r="M291" s="102">
        <f t="shared" ref="M291:M295" si="24">J291*100/G291</f>
        <v>80.502748815165887</v>
      </c>
      <c r="N291" s="102">
        <f t="shared" ref="N291:N294" si="25">J291*100/O291</f>
        <v>80.502748815165887</v>
      </c>
      <c r="O291" s="103">
        <f>G80</f>
        <v>10550</v>
      </c>
      <c r="P291" s="61"/>
    </row>
    <row r="292" spans="1:18" ht="15.75" x14ac:dyDescent="0.25">
      <c r="A292" s="171">
        <v>3</v>
      </c>
      <c r="B292" s="171"/>
      <c r="C292" s="171"/>
      <c r="D292" s="172" t="s">
        <v>78</v>
      </c>
      <c r="E292" s="172"/>
      <c r="F292" s="172"/>
      <c r="G292" s="184">
        <v>0</v>
      </c>
      <c r="H292" s="184"/>
      <c r="I292" s="184"/>
      <c r="J292" s="150">
        <v>0</v>
      </c>
      <c r="K292" s="151"/>
      <c r="L292" s="102"/>
      <c r="M292" s="102">
        <v>0</v>
      </c>
      <c r="N292" s="102">
        <v>0</v>
      </c>
      <c r="O292" s="103"/>
      <c r="P292" s="61"/>
    </row>
    <row r="293" spans="1:18" ht="15.75" x14ac:dyDescent="0.25">
      <c r="A293" s="171">
        <v>4</v>
      </c>
      <c r="B293" s="171"/>
      <c r="C293" s="171"/>
      <c r="D293" s="172" t="s">
        <v>79</v>
      </c>
      <c r="E293" s="172"/>
      <c r="F293" s="172"/>
      <c r="G293" s="184"/>
      <c r="H293" s="184"/>
      <c r="I293" s="184"/>
      <c r="J293" s="150">
        <v>0</v>
      </c>
      <c r="K293" s="151"/>
      <c r="L293" s="102"/>
      <c r="M293" s="102">
        <v>0</v>
      </c>
      <c r="N293" s="102">
        <v>0</v>
      </c>
      <c r="O293" s="103"/>
      <c r="P293" s="61"/>
    </row>
    <row r="294" spans="1:18" ht="15.75" x14ac:dyDescent="0.25">
      <c r="A294" s="171">
        <v>5</v>
      </c>
      <c r="B294" s="171"/>
      <c r="C294" s="171"/>
      <c r="D294" s="172" t="s">
        <v>80</v>
      </c>
      <c r="E294" s="172"/>
      <c r="F294" s="172"/>
      <c r="G294" s="184">
        <f>400000+193883.87</f>
        <v>593883.87</v>
      </c>
      <c r="H294" s="184"/>
      <c r="I294" s="184"/>
      <c r="J294" s="150">
        <f>399624.7+165009</f>
        <v>564633.69999999995</v>
      </c>
      <c r="K294" s="151"/>
      <c r="L294" s="102">
        <v>191904.1</v>
      </c>
      <c r="M294" s="102">
        <f t="shared" si="24"/>
        <v>95.07476604811643</v>
      </c>
      <c r="N294" s="102">
        <f t="shared" si="25"/>
        <v>95.07476604811643</v>
      </c>
      <c r="O294" s="103">
        <f>400000+193883.87</f>
        <v>593883.87</v>
      </c>
      <c r="P294" s="66"/>
      <c r="R294" s="17"/>
    </row>
    <row r="295" spans="1:18" ht="15.75" x14ac:dyDescent="0.25">
      <c r="A295" s="197" t="s">
        <v>54</v>
      </c>
      <c r="B295" s="197"/>
      <c r="C295" s="197"/>
      <c r="D295" s="197"/>
      <c r="E295" s="197"/>
      <c r="F295" s="197"/>
      <c r="G295" s="198">
        <f>SUM(G290:G294)</f>
        <v>663451.87</v>
      </c>
      <c r="H295" s="199"/>
      <c r="I295" s="199"/>
      <c r="J295" s="179">
        <f>SUM(J290:J294)</f>
        <v>632144.74</v>
      </c>
      <c r="K295" s="180"/>
      <c r="L295" s="104">
        <f>SUM(L290:L294)</f>
        <v>260919.81</v>
      </c>
      <c r="M295" s="102">
        <f t="shared" si="24"/>
        <v>95.281175407644866</v>
      </c>
      <c r="N295" s="104">
        <f>J295*100/O295</f>
        <v>95.281175407644866</v>
      </c>
      <c r="O295" s="100">
        <f>SUM(O290:O294)</f>
        <v>663451.87</v>
      </c>
      <c r="P295" s="65"/>
    </row>
    <row r="296" spans="1:18" x14ac:dyDescent="0.25">
      <c r="O296" s="31"/>
      <c r="P296" s="31"/>
    </row>
    <row r="297" spans="1:18" x14ac:dyDescent="0.25">
      <c r="A297" s="97" t="s">
        <v>209</v>
      </c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107" t="s">
        <v>118</v>
      </c>
      <c r="P297" s="67"/>
    </row>
    <row r="298" spans="1:18" ht="15.75" x14ac:dyDescent="0.25">
      <c r="A298" s="181" t="s">
        <v>73</v>
      </c>
      <c r="B298" s="182"/>
      <c r="C298" s="183"/>
      <c r="D298" s="227" t="s">
        <v>74</v>
      </c>
      <c r="E298" s="227"/>
      <c r="F298" s="227"/>
      <c r="G298" s="204" t="s">
        <v>75</v>
      </c>
      <c r="H298" s="204"/>
      <c r="I298" s="204"/>
      <c r="J298" s="185" t="s">
        <v>158</v>
      </c>
      <c r="K298" s="186"/>
      <c r="L298" s="101" t="s">
        <v>157</v>
      </c>
      <c r="M298" s="89" t="s">
        <v>132</v>
      </c>
      <c r="N298" s="89" t="s">
        <v>138</v>
      </c>
      <c r="O298" s="89" t="s">
        <v>139</v>
      </c>
      <c r="P298" s="60"/>
    </row>
    <row r="299" spans="1:18" ht="15.75" x14ac:dyDescent="0.25">
      <c r="A299" s="181">
        <v>1</v>
      </c>
      <c r="B299" s="182"/>
      <c r="C299" s="183"/>
      <c r="D299" s="172" t="s">
        <v>76</v>
      </c>
      <c r="E299" s="172"/>
      <c r="F299" s="172"/>
      <c r="G299" s="184">
        <v>28429.38</v>
      </c>
      <c r="H299" s="184"/>
      <c r="I299" s="184"/>
      <c r="J299" s="150">
        <v>28429.38</v>
      </c>
      <c r="K299" s="151"/>
      <c r="L299" s="102">
        <v>30755.18</v>
      </c>
      <c r="M299" s="102">
        <f>J299*100/G299</f>
        <v>100</v>
      </c>
      <c r="N299" s="102">
        <f>J299*100/O299</f>
        <v>100</v>
      </c>
      <c r="O299" s="103">
        <v>28429.38</v>
      </c>
      <c r="P299" s="61"/>
    </row>
    <row r="300" spans="1:18" ht="15.75" x14ac:dyDescent="0.25">
      <c r="A300" s="181">
        <v>2</v>
      </c>
      <c r="B300" s="182"/>
      <c r="C300" s="183"/>
      <c r="D300" s="172" t="s">
        <v>77</v>
      </c>
      <c r="E300" s="172"/>
      <c r="F300" s="172"/>
      <c r="G300" s="184">
        <v>18417</v>
      </c>
      <c r="H300" s="184"/>
      <c r="I300" s="184"/>
      <c r="J300" s="150">
        <v>9464.6200000000008</v>
      </c>
      <c r="K300" s="151"/>
      <c r="L300" s="102">
        <v>14253.68</v>
      </c>
      <c r="M300" s="102">
        <f t="shared" ref="M300:M304" si="26">J300*100/G300</f>
        <v>51.390671662051375</v>
      </c>
      <c r="N300" s="102">
        <f t="shared" ref="N300:N304" si="27">J300*100/O300</f>
        <v>51.390671662051375</v>
      </c>
      <c r="O300" s="103">
        <f>G81</f>
        <v>18417</v>
      </c>
      <c r="P300" s="61"/>
    </row>
    <row r="301" spans="1:18" ht="15.75" x14ac:dyDescent="0.25">
      <c r="A301" s="171">
        <v>3</v>
      </c>
      <c r="B301" s="171"/>
      <c r="C301" s="171"/>
      <c r="D301" s="172" t="s">
        <v>78</v>
      </c>
      <c r="E301" s="172"/>
      <c r="F301" s="172"/>
      <c r="G301" s="184">
        <v>0</v>
      </c>
      <c r="H301" s="184"/>
      <c r="I301" s="184"/>
      <c r="J301" s="150">
        <v>0</v>
      </c>
      <c r="K301" s="151"/>
      <c r="L301" s="102"/>
      <c r="M301" s="102">
        <v>0</v>
      </c>
      <c r="N301" s="102">
        <v>0</v>
      </c>
      <c r="O301" s="103">
        <v>0</v>
      </c>
      <c r="P301" s="61"/>
    </row>
    <row r="302" spans="1:18" ht="15.75" x14ac:dyDescent="0.25">
      <c r="A302" s="171">
        <v>4</v>
      </c>
      <c r="B302" s="171"/>
      <c r="C302" s="171"/>
      <c r="D302" s="172" t="s">
        <v>79</v>
      </c>
      <c r="E302" s="172"/>
      <c r="F302" s="172"/>
      <c r="G302" s="184"/>
      <c r="H302" s="184"/>
      <c r="I302" s="184"/>
      <c r="J302" s="150">
        <v>0</v>
      </c>
      <c r="K302" s="151"/>
      <c r="L302" s="102"/>
      <c r="M302" s="102">
        <v>0</v>
      </c>
      <c r="N302" s="102">
        <v>0</v>
      </c>
      <c r="O302" s="103">
        <v>0</v>
      </c>
      <c r="P302" s="61"/>
    </row>
    <row r="303" spans="1:18" ht="15.75" x14ac:dyDescent="0.25">
      <c r="A303" s="171">
        <v>5</v>
      </c>
      <c r="B303" s="171"/>
      <c r="C303" s="171"/>
      <c r="D303" s="172" t="s">
        <v>80</v>
      </c>
      <c r="E303" s="172"/>
      <c r="F303" s="172"/>
      <c r="G303" s="184">
        <f>25000+461.83</f>
        <v>25461.83</v>
      </c>
      <c r="H303" s="184"/>
      <c r="I303" s="184"/>
      <c r="J303" s="150">
        <v>23497.78</v>
      </c>
      <c r="K303" s="151"/>
      <c r="L303" s="102">
        <v>4288.17</v>
      </c>
      <c r="M303" s="102">
        <v>0</v>
      </c>
      <c r="N303" s="102">
        <f t="shared" si="27"/>
        <v>58.073942775203193</v>
      </c>
      <c r="O303" s="103">
        <f>40000+461.83</f>
        <v>40461.83</v>
      </c>
      <c r="P303" s="66"/>
    </row>
    <row r="304" spans="1:18" ht="15.75" x14ac:dyDescent="0.25">
      <c r="A304" s="197" t="s">
        <v>54</v>
      </c>
      <c r="B304" s="197"/>
      <c r="C304" s="197"/>
      <c r="D304" s="232"/>
      <c r="E304" s="232"/>
      <c r="F304" s="232"/>
      <c r="G304" s="198">
        <f>SUM(G299:G303)</f>
        <v>72308.210000000006</v>
      </c>
      <c r="H304" s="199"/>
      <c r="I304" s="199"/>
      <c r="J304" s="179">
        <f>SUM(J299:J303)</f>
        <v>61391.78</v>
      </c>
      <c r="K304" s="180"/>
      <c r="L304" s="104">
        <f>SUM(L299:L303)</f>
        <v>49297.03</v>
      </c>
      <c r="M304" s="105">
        <f t="shared" si="26"/>
        <v>84.902917663153318</v>
      </c>
      <c r="N304" s="105">
        <f t="shared" si="27"/>
        <v>70.316159270703167</v>
      </c>
      <c r="O304" s="100">
        <f>SUM(O299:O303)</f>
        <v>87308.21</v>
      </c>
      <c r="P304" s="65"/>
    </row>
    <row r="306" spans="1:19" x14ac:dyDescent="0.25">
      <c r="A306" s="97" t="s">
        <v>90</v>
      </c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107" t="s">
        <v>117</v>
      </c>
      <c r="P306" s="56"/>
    </row>
    <row r="307" spans="1:19" ht="15.75" x14ac:dyDescent="0.25">
      <c r="A307" s="181" t="s">
        <v>73</v>
      </c>
      <c r="B307" s="182"/>
      <c r="C307" s="183"/>
      <c r="D307" s="227" t="s">
        <v>74</v>
      </c>
      <c r="E307" s="227"/>
      <c r="F307" s="227"/>
      <c r="G307" s="204" t="s">
        <v>75</v>
      </c>
      <c r="H307" s="204"/>
      <c r="I307" s="204"/>
      <c r="J307" s="185" t="s">
        <v>158</v>
      </c>
      <c r="K307" s="186"/>
      <c r="L307" s="101" t="s">
        <v>157</v>
      </c>
      <c r="M307" s="89" t="s">
        <v>132</v>
      </c>
      <c r="N307" s="89" t="s">
        <v>138</v>
      </c>
      <c r="O307" s="89" t="s">
        <v>139</v>
      </c>
      <c r="P307" s="60"/>
    </row>
    <row r="308" spans="1:19" ht="15.75" x14ac:dyDescent="0.25">
      <c r="A308" s="181">
        <v>1</v>
      </c>
      <c r="B308" s="182"/>
      <c r="C308" s="183"/>
      <c r="D308" s="172" t="s">
        <v>76</v>
      </c>
      <c r="E308" s="172"/>
      <c r="F308" s="172"/>
      <c r="G308" s="184">
        <v>33114.81</v>
      </c>
      <c r="H308" s="184"/>
      <c r="I308" s="184"/>
      <c r="J308" s="150">
        <v>33114.81</v>
      </c>
      <c r="K308" s="151"/>
      <c r="L308" s="102">
        <v>35756.730000000003</v>
      </c>
      <c r="M308" s="102">
        <f>J308*100/G308</f>
        <v>100</v>
      </c>
      <c r="N308" s="102">
        <f>J308*100/O308</f>
        <v>100</v>
      </c>
      <c r="O308" s="103">
        <v>33114.81</v>
      </c>
      <c r="P308" s="61"/>
    </row>
    <row r="309" spans="1:19" ht="15.75" x14ac:dyDescent="0.25">
      <c r="A309" s="181">
        <v>2</v>
      </c>
      <c r="B309" s="182"/>
      <c r="C309" s="183"/>
      <c r="D309" s="172" t="s">
        <v>77</v>
      </c>
      <c r="E309" s="172"/>
      <c r="F309" s="172"/>
      <c r="G309" s="184">
        <f>52338</f>
        <v>52338</v>
      </c>
      <c r="H309" s="184"/>
      <c r="I309" s="184"/>
      <c r="J309" s="150">
        <v>1615.93</v>
      </c>
      <c r="K309" s="151"/>
      <c r="L309" s="102">
        <v>51947.88</v>
      </c>
      <c r="M309" s="102">
        <f t="shared" ref="M309:M312" si="28">J309*100/G309</f>
        <v>3.087489013718522</v>
      </c>
      <c r="N309" s="102">
        <f t="shared" ref="N309:N312" si="29">J309*100/O309</f>
        <v>3.087489013718522</v>
      </c>
      <c r="O309" s="103">
        <v>52338</v>
      </c>
      <c r="P309" s="61"/>
    </row>
    <row r="310" spans="1:19" ht="15.75" x14ac:dyDescent="0.25">
      <c r="A310" s="171">
        <v>3</v>
      </c>
      <c r="B310" s="171"/>
      <c r="C310" s="171"/>
      <c r="D310" s="172" t="s">
        <v>78</v>
      </c>
      <c r="E310" s="172"/>
      <c r="F310" s="172"/>
      <c r="G310" s="184">
        <v>0</v>
      </c>
      <c r="H310" s="184"/>
      <c r="I310" s="184"/>
      <c r="J310" s="150">
        <v>0</v>
      </c>
      <c r="K310" s="151"/>
      <c r="L310" s="102"/>
      <c r="M310" s="102">
        <v>0</v>
      </c>
      <c r="N310" s="102">
        <v>0</v>
      </c>
      <c r="O310" s="103">
        <v>0</v>
      </c>
      <c r="P310" s="61"/>
    </row>
    <row r="311" spans="1:19" ht="15.75" x14ac:dyDescent="0.25">
      <c r="A311" s="171">
        <v>4</v>
      </c>
      <c r="B311" s="171"/>
      <c r="C311" s="171"/>
      <c r="D311" s="172" t="s">
        <v>79</v>
      </c>
      <c r="E311" s="172"/>
      <c r="F311" s="172"/>
      <c r="G311" s="184">
        <f>20000+6253.01</f>
        <v>26253.010000000002</v>
      </c>
      <c r="H311" s="184"/>
      <c r="I311" s="184"/>
      <c r="J311" s="150">
        <f>8750+6250</f>
        <v>15000</v>
      </c>
      <c r="K311" s="151"/>
      <c r="L311" s="102">
        <v>204040</v>
      </c>
      <c r="M311" s="102">
        <f t="shared" si="28"/>
        <v>57.136305513158298</v>
      </c>
      <c r="N311" s="102">
        <f t="shared" si="29"/>
        <v>47.995377085279145</v>
      </c>
      <c r="O311" s="103">
        <f>25000+6253.01</f>
        <v>31253.010000000002</v>
      </c>
      <c r="P311" s="61"/>
    </row>
    <row r="312" spans="1:19" ht="15.75" x14ac:dyDescent="0.25">
      <c r="A312" s="197" t="s">
        <v>54</v>
      </c>
      <c r="B312" s="197"/>
      <c r="C312" s="197"/>
      <c r="D312" s="197"/>
      <c r="E312" s="197"/>
      <c r="F312" s="197"/>
      <c r="G312" s="198">
        <f>SUM(G308:G311)</f>
        <v>111705.82</v>
      </c>
      <c r="H312" s="199"/>
      <c r="I312" s="199"/>
      <c r="J312" s="179">
        <f>SUM(J308:J311)</f>
        <v>49730.74</v>
      </c>
      <c r="K312" s="180"/>
      <c r="L312" s="104">
        <f>SUM(L308:L311)</f>
        <v>291744.61</v>
      </c>
      <c r="M312" s="105">
        <f t="shared" si="28"/>
        <v>44.51938135363045</v>
      </c>
      <c r="N312" s="105">
        <f t="shared" si="29"/>
        <v>42.612047968130462</v>
      </c>
      <c r="O312" s="100">
        <f>SUM(O308:O311)</f>
        <v>116705.82</v>
      </c>
      <c r="P312" s="65"/>
    </row>
    <row r="314" spans="1:19" ht="15.75" x14ac:dyDescent="0.25">
      <c r="O314" s="125">
        <v>8</v>
      </c>
    </row>
    <row r="315" spans="1:19" x14ac:dyDescent="0.25">
      <c r="A315" s="97" t="s">
        <v>91</v>
      </c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107" t="s">
        <v>116</v>
      </c>
      <c r="P315" s="56"/>
    </row>
    <row r="316" spans="1:19" ht="15.75" x14ac:dyDescent="0.25">
      <c r="A316" s="181" t="s">
        <v>73</v>
      </c>
      <c r="B316" s="182"/>
      <c r="C316" s="183"/>
      <c r="D316" s="227" t="s">
        <v>74</v>
      </c>
      <c r="E316" s="227"/>
      <c r="F316" s="227"/>
      <c r="G316" s="174" t="s">
        <v>75</v>
      </c>
      <c r="H316" s="174"/>
      <c r="I316" s="174"/>
      <c r="J316" s="193" t="s">
        <v>158</v>
      </c>
      <c r="K316" s="194"/>
      <c r="L316" s="101" t="s">
        <v>157</v>
      </c>
      <c r="M316" s="101" t="s">
        <v>136</v>
      </c>
      <c r="N316" s="89" t="s">
        <v>138</v>
      </c>
      <c r="O316" s="89" t="s">
        <v>139</v>
      </c>
      <c r="P316" s="60"/>
      <c r="S316" s="16"/>
    </row>
    <row r="317" spans="1:19" ht="15.75" x14ac:dyDescent="0.25">
      <c r="A317" s="181">
        <v>1</v>
      </c>
      <c r="B317" s="182"/>
      <c r="C317" s="183"/>
      <c r="D317" s="172" t="s">
        <v>76</v>
      </c>
      <c r="E317" s="172"/>
      <c r="F317" s="172"/>
      <c r="G317" s="184">
        <f>1356188.36+15008.5+32695.31</f>
        <v>1403892.1700000002</v>
      </c>
      <c r="H317" s="184"/>
      <c r="I317" s="184"/>
      <c r="J317" s="175">
        <f>1356188.36+15008.5+32695.31</f>
        <v>1403892.1700000002</v>
      </c>
      <c r="K317" s="176"/>
      <c r="L317" s="102">
        <v>1526891.75</v>
      </c>
      <c r="M317" s="102">
        <f>J317*100/G317</f>
        <v>100.00000000000001</v>
      </c>
      <c r="N317" s="102">
        <f>J317*100/O317</f>
        <v>101.86504406309923</v>
      </c>
      <c r="O317" s="103">
        <f>1356188.36+21999.99</f>
        <v>1378188.35</v>
      </c>
      <c r="P317" s="66"/>
      <c r="S317" s="16"/>
    </row>
    <row r="318" spans="1:19" ht="15.75" x14ac:dyDescent="0.25">
      <c r="A318" s="181">
        <v>2</v>
      </c>
      <c r="B318" s="182"/>
      <c r="C318" s="183"/>
      <c r="D318" s="172" t="s">
        <v>77</v>
      </c>
      <c r="E318" s="172"/>
      <c r="F318" s="172"/>
      <c r="G318" s="184">
        <f>342614+10000+11999.17+31867</f>
        <v>396480.17</v>
      </c>
      <c r="H318" s="184"/>
      <c r="I318" s="184"/>
      <c r="J318" s="175">
        <f>333203.22+24826.02</f>
        <v>358029.24</v>
      </c>
      <c r="K318" s="176"/>
      <c r="L318" s="102">
        <v>237927.42</v>
      </c>
      <c r="M318" s="102">
        <f t="shared" ref="M318:M323" si="30">J318*100/G318</f>
        <v>90.301928593301398</v>
      </c>
      <c r="N318" s="102">
        <f t="shared" ref="N318:N323" si="31">J318*100/O318</f>
        <v>98.194269833972271</v>
      </c>
      <c r="O318" s="103">
        <f>342614+10000+11999.17</f>
        <v>364613.17</v>
      </c>
      <c r="P318" s="66"/>
      <c r="S318" s="16"/>
    </row>
    <row r="319" spans="1:19" ht="15.75" x14ac:dyDescent="0.25">
      <c r="A319" s="171">
        <v>3</v>
      </c>
      <c r="B319" s="171"/>
      <c r="C319" s="171"/>
      <c r="D319" s="172" t="s">
        <v>78</v>
      </c>
      <c r="E319" s="172"/>
      <c r="F319" s="172"/>
      <c r="G319" s="184">
        <v>48000</v>
      </c>
      <c r="H319" s="184"/>
      <c r="I319" s="184"/>
      <c r="J319" s="175">
        <v>37051.82</v>
      </c>
      <c r="K319" s="176"/>
      <c r="L319" s="102">
        <v>42184.38</v>
      </c>
      <c r="M319" s="102">
        <f t="shared" si="30"/>
        <v>77.191291666666672</v>
      </c>
      <c r="N319" s="102">
        <f t="shared" si="31"/>
        <v>77.191291666666672</v>
      </c>
      <c r="O319" s="103">
        <v>48000</v>
      </c>
      <c r="P319" s="66"/>
      <c r="S319" s="16"/>
    </row>
    <row r="320" spans="1:19" ht="15.75" x14ac:dyDescent="0.25">
      <c r="A320" s="171">
        <v>4</v>
      </c>
      <c r="B320" s="171"/>
      <c r="C320" s="171"/>
      <c r="D320" s="172" t="s">
        <v>79</v>
      </c>
      <c r="E320" s="172"/>
      <c r="F320" s="172"/>
      <c r="G320" s="184"/>
      <c r="H320" s="184"/>
      <c r="I320" s="184"/>
      <c r="J320" s="175">
        <v>0</v>
      </c>
      <c r="K320" s="176"/>
      <c r="L320" s="102"/>
      <c r="M320" s="102">
        <v>0</v>
      </c>
      <c r="N320" s="102">
        <v>0</v>
      </c>
      <c r="O320" s="103">
        <v>0</v>
      </c>
      <c r="P320" s="66"/>
      <c r="Q320" s="17"/>
      <c r="S320" s="16"/>
    </row>
    <row r="321" spans="1:20" ht="15.75" x14ac:dyDescent="0.25">
      <c r="A321" s="171">
        <v>5</v>
      </c>
      <c r="B321" s="171"/>
      <c r="C321" s="171"/>
      <c r="D321" s="172" t="s">
        <v>80</v>
      </c>
      <c r="E321" s="172"/>
      <c r="F321" s="172"/>
      <c r="G321" s="184">
        <v>243616.76</v>
      </c>
      <c r="H321" s="184"/>
      <c r="I321" s="184"/>
      <c r="J321" s="175">
        <f>704+27515.6+17403.18+18669+13150</f>
        <v>77441.78</v>
      </c>
      <c r="K321" s="176"/>
      <c r="L321" s="102">
        <v>229467.12</v>
      </c>
      <c r="M321" s="102">
        <f t="shared" si="30"/>
        <v>31.788363000969227</v>
      </c>
      <c r="N321" s="102">
        <f t="shared" si="31"/>
        <v>31.788363000969227</v>
      </c>
      <c r="O321" s="103">
        <v>243616.76</v>
      </c>
      <c r="P321" s="66"/>
      <c r="S321" s="16"/>
    </row>
    <row r="322" spans="1:20" ht="15.75" x14ac:dyDescent="0.25">
      <c r="A322" s="181">
        <v>6</v>
      </c>
      <c r="B322" s="182"/>
      <c r="C322" s="183"/>
      <c r="D322" s="181" t="s">
        <v>215</v>
      </c>
      <c r="E322" s="182"/>
      <c r="F322" s="183"/>
      <c r="G322" s="150"/>
      <c r="H322" s="201"/>
      <c r="I322" s="151"/>
      <c r="J322" s="175"/>
      <c r="K322" s="176"/>
      <c r="L322" s="102"/>
      <c r="M322" s="102"/>
      <c r="N322" s="102"/>
      <c r="O322" s="103">
        <v>50000</v>
      </c>
      <c r="P322" s="66"/>
      <c r="S322" s="16"/>
    </row>
    <row r="323" spans="1:20" ht="15.75" x14ac:dyDescent="0.25">
      <c r="A323" s="197" t="s">
        <v>54</v>
      </c>
      <c r="B323" s="197"/>
      <c r="C323" s="197"/>
      <c r="D323" s="197"/>
      <c r="E323" s="197"/>
      <c r="F323" s="197"/>
      <c r="G323" s="198">
        <f>SUM(G317:G321)</f>
        <v>2091989.1</v>
      </c>
      <c r="H323" s="199"/>
      <c r="I323" s="199"/>
      <c r="J323" s="177">
        <f>SUM(J317:J321)</f>
        <v>1876415.0100000002</v>
      </c>
      <c r="K323" s="178"/>
      <c r="L323" s="104">
        <f>SUM(L317:L321)</f>
        <v>2036470.67</v>
      </c>
      <c r="M323" s="105">
        <f t="shared" si="30"/>
        <v>89.69525749441047</v>
      </c>
      <c r="N323" s="105">
        <f t="shared" si="31"/>
        <v>90.021039826996727</v>
      </c>
      <c r="O323" s="100">
        <f>SUM(O317:O322)</f>
        <v>2084418.28</v>
      </c>
      <c r="P323" s="65"/>
      <c r="S323" s="16"/>
      <c r="T323" s="16"/>
    </row>
    <row r="324" spans="1:20" ht="15.75" x14ac:dyDescent="0.25">
      <c r="A324" s="118"/>
      <c r="B324" s="118"/>
      <c r="C324" s="118"/>
      <c r="D324" s="118"/>
      <c r="E324" s="118"/>
      <c r="F324" s="118"/>
      <c r="G324" s="136"/>
      <c r="H324" s="137"/>
      <c r="I324" s="137"/>
      <c r="J324" s="138"/>
      <c r="K324" s="138"/>
      <c r="L324" s="120"/>
      <c r="M324" s="121"/>
      <c r="N324" s="121"/>
      <c r="O324" s="120"/>
      <c r="P324" s="65"/>
      <c r="S324" s="16"/>
      <c r="T324" s="16"/>
    </row>
    <row r="325" spans="1:20" ht="15.75" x14ac:dyDescent="0.25">
      <c r="A325" s="118"/>
      <c r="B325" s="118"/>
      <c r="C325" s="118"/>
      <c r="D325" s="118"/>
      <c r="E325" s="118"/>
      <c r="F325" s="118"/>
      <c r="G325" s="136"/>
      <c r="H325" s="137"/>
      <c r="I325" s="137"/>
      <c r="J325" s="138"/>
      <c r="K325" s="138"/>
      <c r="L325" s="120"/>
      <c r="M325" s="121"/>
      <c r="N325" s="121"/>
      <c r="O325" s="120"/>
      <c r="P325" s="65"/>
      <c r="S325" s="16"/>
      <c r="T325" s="16"/>
    </row>
    <row r="326" spans="1:20" x14ac:dyDescent="0.25">
      <c r="A326" s="97" t="s">
        <v>92</v>
      </c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107" t="s">
        <v>115</v>
      </c>
    </row>
    <row r="327" spans="1:20" ht="15.75" x14ac:dyDescent="0.25">
      <c r="A327" s="181" t="s">
        <v>73</v>
      </c>
      <c r="B327" s="182"/>
      <c r="C327" s="183"/>
      <c r="D327" s="227" t="s">
        <v>74</v>
      </c>
      <c r="E327" s="227"/>
      <c r="F327" s="227"/>
      <c r="G327" s="174" t="s">
        <v>75</v>
      </c>
      <c r="H327" s="174"/>
      <c r="I327" s="174"/>
      <c r="J327" s="193" t="s">
        <v>156</v>
      </c>
      <c r="K327" s="194"/>
      <c r="L327" s="101" t="s">
        <v>157</v>
      </c>
      <c r="M327" s="101" t="s">
        <v>132</v>
      </c>
      <c r="N327" s="89" t="s">
        <v>138</v>
      </c>
      <c r="O327" s="89" t="s">
        <v>139</v>
      </c>
      <c r="P327" s="60"/>
    </row>
    <row r="328" spans="1:20" ht="15.75" x14ac:dyDescent="0.25">
      <c r="A328" s="181">
        <v>1</v>
      </c>
      <c r="B328" s="182"/>
      <c r="C328" s="183"/>
      <c r="D328" s="172" t="s">
        <v>76</v>
      </c>
      <c r="E328" s="172"/>
      <c r="F328" s="172"/>
      <c r="G328" s="184">
        <v>78931.210000000006</v>
      </c>
      <c r="H328" s="184"/>
      <c r="I328" s="184"/>
      <c r="J328" s="150">
        <v>78931.210000000006</v>
      </c>
      <c r="K328" s="151"/>
      <c r="L328" s="102">
        <v>77235.570000000007</v>
      </c>
      <c r="M328" s="102">
        <f>J328*100/G328</f>
        <v>100</v>
      </c>
      <c r="N328" s="102">
        <f>J328*100/O328</f>
        <v>100</v>
      </c>
      <c r="O328" s="103">
        <v>78931.210000000006</v>
      </c>
      <c r="P328" s="66"/>
    </row>
    <row r="329" spans="1:20" ht="15.75" x14ac:dyDescent="0.25">
      <c r="A329" s="181">
        <v>2</v>
      </c>
      <c r="B329" s="182"/>
      <c r="C329" s="183"/>
      <c r="D329" s="172" t="s">
        <v>77</v>
      </c>
      <c r="E329" s="172"/>
      <c r="F329" s="172"/>
      <c r="G329" s="184">
        <v>16713</v>
      </c>
      <c r="H329" s="184"/>
      <c r="I329" s="184"/>
      <c r="J329" s="150">
        <v>2977.9</v>
      </c>
      <c r="K329" s="151"/>
      <c r="L329" s="102">
        <v>8618.25</v>
      </c>
      <c r="M329" s="102">
        <f t="shared" ref="M329:M332" si="32">J329*100/G329</f>
        <v>17.817866331598157</v>
      </c>
      <c r="N329" s="102">
        <f t="shared" ref="N329:N332" si="33">J329*100/O329</f>
        <v>17.817866331598157</v>
      </c>
      <c r="O329" s="103">
        <v>16713</v>
      </c>
      <c r="P329" s="66"/>
    </row>
    <row r="330" spans="1:20" ht="15.75" x14ac:dyDescent="0.25">
      <c r="A330" s="171">
        <v>3</v>
      </c>
      <c r="B330" s="171"/>
      <c r="C330" s="171"/>
      <c r="D330" s="172" t="s">
        <v>78</v>
      </c>
      <c r="E330" s="172"/>
      <c r="F330" s="172"/>
      <c r="G330" s="184">
        <v>5951</v>
      </c>
      <c r="H330" s="184"/>
      <c r="I330" s="184"/>
      <c r="J330" s="150">
        <v>3745.93</v>
      </c>
      <c r="K330" s="151"/>
      <c r="L330" s="102">
        <v>3057.45</v>
      </c>
      <c r="M330" s="102">
        <f t="shared" si="32"/>
        <v>62.946227524785748</v>
      </c>
      <c r="N330" s="102">
        <f t="shared" si="33"/>
        <v>62.946227524785748</v>
      </c>
      <c r="O330" s="103">
        <v>5951</v>
      </c>
      <c r="P330" s="66"/>
    </row>
    <row r="331" spans="1:20" ht="15.75" x14ac:dyDescent="0.25">
      <c r="A331" s="171">
        <v>4</v>
      </c>
      <c r="B331" s="171"/>
      <c r="C331" s="171"/>
      <c r="D331" s="172" t="s">
        <v>79</v>
      </c>
      <c r="E331" s="172"/>
      <c r="F331" s="172"/>
      <c r="G331" s="184"/>
      <c r="H331" s="184"/>
      <c r="I331" s="184"/>
      <c r="J331" s="150">
        <v>0</v>
      </c>
      <c r="K331" s="151"/>
      <c r="L331" s="102"/>
      <c r="M331" s="102">
        <v>0</v>
      </c>
      <c r="N331" s="102">
        <v>0</v>
      </c>
      <c r="O331" s="103"/>
      <c r="P331" s="66"/>
    </row>
    <row r="332" spans="1:20" ht="15.75" x14ac:dyDescent="0.25">
      <c r="A332" s="197" t="s">
        <v>54</v>
      </c>
      <c r="B332" s="197"/>
      <c r="C332" s="197"/>
      <c r="D332" s="197"/>
      <c r="E332" s="197"/>
      <c r="F332" s="197"/>
      <c r="G332" s="198">
        <f>SUM(G328:G331)</f>
        <v>101595.21</v>
      </c>
      <c r="H332" s="199"/>
      <c r="I332" s="199"/>
      <c r="J332" s="179">
        <f>SUM(J328:J331)</f>
        <v>85655.039999999994</v>
      </c>
      <c r="K332" s="180"/>
      <c r="L332" s="104">
        <f>SUM(L328:L331)</f>
        <v>88911.27</v>
      </c>
      <c r="M332" s="105">
        <f t="shared" si="32"/>
        <v>84.310116589158085</v>
      </c>
      <c r="N332" s="105">
        <f t="shared" si="33"/>
        <v>84.310116589158085</v>
      </c>
      <c r="O332" s="100">
        <f>SUM(O328:O331)</f>
        <v>101595.21</v>
      </c>
      <c r="P332" s="65"/>
    </row>
    <row r="335" spans="1:20" x14ac:dyDescent="0.25">
      <c r="A335" s="97" t="s">
        <v>93</v>
      </c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107" t="s">
        <v>114</v>
      </c>
      <c r="P335" s="56"/>
    </row>
    <row r="336" spans="1:20" ht="15.75" x14ac:dyDescent="0.25">
      <c r="A336" s="181" t="s">
        <v>73</v>
      </c>
      <c r="B336" s="182"/>
      <c r="C336" s="183"/>
      <c r="D336" s="171" t="s">
        <v>74</v>
      </c>
      <c r="E336" s="171"/>
      <c r="F336" s="171"/>
      <c r="G336" s="233" t="s">
        <v>75</v>
      </c>
      <c r="H336" s="233"/>
      <c r="I336" s="233"/>
      <c r="J336" s="187" t="s">
        <v>156</v>
      </c>
      <c r="K336" s="188"/>
      <c r="L336" s="101" t="s">
        <v>157</v>
      </c>
      <c r="M336" s="101" t="s">
        <v>132</v>
      </c>
      <c r="N336" s="89" t="s">
        <v>138</v>
      </c>
      <c r="O336" s="89" t="s">
        <v>139</v>
      </c>
      <c r="P336" s="60"/>
    </row>
    <row r="337" spans="1:20" ht="15.75" x14ac:dyDescent="0.25">
      <c r="A337" s="181">
        <v>1</v>
      </c>
      <c r="B337" s="182"/>
      <c r="C337" s="183"/>
      <c r="D337" s="172" t="s">
        <v>76</v>
      </c>
      <c r="E337" s="172"/>
      <c r="F337" s="172"/>
      <c r="G337" s="184">
        <v>60431.7</v>
      </c>
      <c r="H337" s="184"/>
      <c r="I337" s="184"/>
      <c r="J337" s="150">
        <v>60431.7</v>
      </c>
      <c r="K337" s="151"/>
      <c r="L337" s="102">
        <v>61076.05</v>
      </c>
      <c r="M337" s="102">
        <f>J337*100/G337</f>
        <v>100</v>
      </c>
      <c r="N337" s="102">
        <f>J337*100/O337</f>
        <v>100</v>
      </c>
      <c r="O337" s="103">
        <v>60431.7</v>
      </c>
      <c r="P337" s="66"/>
    </row>
    <row r="338" spans="1:20" ht="15.75" x14ac:dyDescent="0.25">
      <c r="A338" s="181">
        <v>2</v>
      </c>
      <c r="B338" s="182"/>
      <c r="C338" s="183"/>
      <c r="D338" s="172" t="s">
        <v>77</v>
      </c>
      <c r="E338" s="172"/>
      <c r="F338" s="172"/>
      <c r="G338" s="184">
        <v>49449</v>
      </c>
      <c r="H338" s="184"/>
      <c r="I338" s="184"/>
      <c r="J338" s="150">
        <v>32733.77</v>
      </c>
      <c r="K338" s="151"/>
      <c r="L338" s="102">
        <v>34271.410000000003</v>
      </c>
      <c r="M338" s="102">
        <f t="shared" ref="M338:M342" si="34">J338*100/G338</f>
        <v>66.19703128475804</v>
      </c>
      <c r="N338" s="102">
        <f t="shared" ref="N338:N341" si="35">J338*100/O338</f>
        <v>66.19703128475804</v>
      </c>
      <c r="O338" s="103">
        <v>49449</v>
      </c>
      <c r="P338" s="66"/>
    </row>
    <row r="339" spans="1:20" ht="15.75" x14ac:dyDescent="0.25">
      <c r="A339" s="171">
        <v>3</v>
      </c>
      <c r="B339" s="171"/>
      <c r="C339" s="171"/>
      <c r="D339" s="172" t="s">
        <v>78</v>
      </c>
      <c r="E339" s="172"/>
      <c r="F339" s="172"/>
      <c r="G339" s="184"/>
      <c r="H339" s="184"/>
      <c r="I339" s="184"/>
      <c r="J339" s="150"/>
      <c r="K339" s="151"/>
      <c r="L339" s="102"/>
      <c r="M339" s="102">
        <v>0</v>
      </c>
      <c r="N339" s="102">
        <v>0</v>
      </c>
      <c r="O339" s="103">
        <v>0</v>
      </c>
      <c r="P339" s="66"/>
      <c r="Q339" s="17"/>
    </row>
    <row r="340" spans="1:20" ht="15.75" x14ac:dyDescent="0.25">
      <c r="A340" s="171">
        <v>4</v>
      </c>
      <c r="B340" s="171"/>
      <c r="C340" s="171"/>
      <c r="D340" s="172" t="s">
        <v>79</v>
      </c>
      <c r="E340" s="172"/>
      <c r="F340" s="172"/>
      <c r="G340" s="184">
        <f>105000+600.39</f>
        <v>105600.39</v>
      </c>
      <c r="H340" s="184"/>
      <c r="I340" s="184"/>
      <c r="J340" s="150">
        <v>102750</v>
      </c>
      <c r="K340" s="151"/>
      <c r="L340" s="102">
        <v>79700</v>
      </c>
      <c r="M340" s="102">
        <f t="shared" si="34"/>
        <v>97.300777014175807</v>
      </c>
      <c r="N340" s="102">
        <f t="shared" si="35"/>
        <v>97.300777014175807</v>
      </c>
      <c r="O340" s="103">
        <f>105000+600.39</f>
        <v>105600.39</v>
      </c>
      <c r="P340" s="66"/>
      <c r="S340" s="17"/>
    </row>
    <row r="341" spans="1:20" ht="15.75" x14ac:dyDescent="0.25">
      <c r="A341" s="171">
        <v>5</v>
      </c>
      <c r="B341" s="171"/>
      <c r="C341" s="171"/>
      <c r="D341" s="172" t="s">
        <v>80</v>
      </c>
      <c r="E341" s="172"/>
      <c r="F341" s="172"/>
      <c r="G341" s="184">
        <f>245000+16157.35+39802.5</f>
        <v>300959.84999999998</v>
      </c>
      <c r="H341" s="184"/>
      <c r="I341" s="184"/>
      <c r="J341" s="150">
        <f>2183.85+61087.15+9451+100000</f>
        <v>172722</v>
      </c>
      <c r="K341" s="151"/>
      <c r="L341" s="102">
        <v>170585.15</v>
      </c>
      <c r="M341" s="102">
        <f t="shared" si="34"/>
        <v>57.390379480851024</v>
      </c>
      <c r="N341" s="102">
        <f t="shared" si="35"/>
        <v>57.390379480851024</v>
      </c>
      <c r="O341" s="103">
        <f>245000+55959.85</f>
        <v>300959.84999999998</v>
      </c>
      <c r="P341" s="66"/>
    </row>
    <row r="342" spans="1:20" ht="15.75" x14ac:dyDescent="0.25">
      <c r="A342" s="197" t="s">
        <v>54</v>
      </c>
      <c r="B342" s="197"/>
      <c r="C342" s="197"/>
      <c r="D342" s="232"/>
      <c r="E342" s="232"/>
      <c r="F342" s="232"/>
      <c r="G342" s="231">
        <f>SUM(G337:G341)</f>
        <v>516440.93999999994</v>
      </c>
      <c r="H342" s="197"/>
      <c r="I342" s="197"/>
      <c r="J342" s="179">
        <f>SUM(J337:J341)</f>
        <v>368637.47</v>
      </c>
      <c r="K342" s="180"/>
      <c r="L342" s="104">
        <f>SUM(L337:L341)</f>
        <v>345632.61</v>
      </c>
      <c r="M342" s="105">
        <f t="shared" si="34"/>
        <v>71.380373136180879</v>
      </c>
      <c r="N342" s="105">
        <f>J342*100/O342</f>
        <v>71.380373136180879</v>
      </c>
      <c r="O342" s="100">
        <f>SUM(O337:O341)</f>
        <v>516440.93999999994</v>
      </c>
      <c r="P342" s="65"/>
    </row>
    <row r="350" spans="1:20" x14ac:dyDescent="0.25">
      <c r="O350" s="63">
        <v>9</v>
      </c>
    </row>
    <row r="351" spans="1:20" x14ac:dyDescent="0.25">
      <c r="A351" s="20" t="s">
        <v>94</v>
      </c>
      <c r="O351" s="52" t="s">
        <v>113</v>
      </c>
    </row>
    <row r="352" spans="1:20" ht="15.75" x14ac:dyDescent="0.25">
      <c r="A352" s="139" t="s">
        <v>73</v>
      </c>
      <c r="B352" s="234"/>
      <c r="C352" s="140"/>
      <c r="D352" s="235" t="s">
        <v>74</v>
      </c>
      <c r="E352" s="235"/>
      <c r="F352" s="235"/>
      <c r="G352" s="236" t="s">
        <v>75</v>
      </c>
      <c r="H352" s="236"/>
      <c r="I352" s="236"/>
      <c r="J352" s="191" t="s">
        <v>156</v>
      </c>
      <c r="K352" s="192"/>
      <c r="L352" s="23" t="s">
        <v>157</v>
      </c>
      <c r="M352" s="23" t="s">
        <v>132</v>
      </c>
      <c r="N352" s="24" t="s">
        <v>138</v>
      </c>
      <c r="O352" s="24" t="s">
        <v>139</v>
      </c>
      <c r="P352" s="60"/>
      <c r="T352" s="16"/>
    </row>
    <row r="353" spans="1:23" ht="15.75" x14ac:dyDescent="0.25">
      <c r="A353" s="139">
        <v>1</v>
      </c>
      <c r="B353" s="234"/>
      <c r="C353" s="140"/>
      <c r="D353" s="237" t="s">
        <v>76</v>
      </c>
      <c r="E353" s="237"/>
      <c r="F353" s="237"/>
      <c r="G353" s="163">
        <v>90850.37</v>
      </c>
      <c r="H353" s="163"/>
      <c r="I353" s="163"/>
      <c r="J353" s="143">
        <v>90850.37</v>
      </c>
      <c r="K353" s="144"/>
      <c r="L353" s="21">
        <v>67839.91</v>
      </c>
      <c r="M353" s="21">
        <f>J353*100/G353</f>
        <v>100</v>
      </c>
      <c r="N353" s="21">
        <f>J353*100/O353</f>
        <v>100</v>
      </c>
      <c r="O353" s="22">
        <v>90850.37</v>
      </c>
      <c r="P353" s="66"/>
      <c r="T353" s="16"/>
      <c r="U353" s="16"/>
      <c r="V353" s="16"/>
      <c r="W353" s="16"/>
    </row>
    <row r="354" spans="1:23" ht="15.75" x14ac:dyDescent="0.25">
      <c r="A354" s="139">
        <v>2</v>
      </c>
      <c r="B354" s="234"/>
      <c r="C354" s="140"/>
      <c r="D354" s="237" t="s">
        <v>77</v>
      </c>
      <c r="E354" s="237"/>
      <c r="F354" s="237"/>
      <c r="G354" s="163">
        <v>315266</v>
      </c>
      <c r="H354" s="163"/>
      <c r="I354" s="163"/>
      <c r="J354" s="143">
        <v>297655.44</v>
      </c>
      <c r="K354" s="144"/>
      <c r="L354" s="21">
        <v>361766.76</v>
      </c>
      <c r="M354" s="21">
        <f t="shared" ref="M354:M359" si="36">J354*100/G354</f>
        <v>94.414063045174558</v>
      </c>
      <c r="N354" s="21">
        <f t="shared" ref="N354:N359" si="37">J354*100/O354</f>
        <v>94.414063045174558</v>
      </c>
      <c r="O354" s="22">
        <v>315266</v>
      </c>
      <c r="P354" s="66"/>
      <c r="Q354" s="17"/>
      <c r="T354" s="16"/>
      <c r="U354" s="16"/>
      <c r="V354" s="16"/>
      <c r="W354" s="16"/>
    </row>
    <row r="355" spans="1:23" ht="15.75" x14ac:dyDescent="0.25">
      <c r="A355" s="162">
        <v>3</v>
      </c>
      <c r="B355" s="162"/>
      <c r="C355" s="162"/>
      <c r="D355" s="237" t="s">
        <v>78</v>
      </c>
      <c r="E355" s="237"/>
      <c r="F355" s="237"/>
      <c r="G355" s="163"/>
      <c r="H355" s="163"/>
      <c r="I355" s="163"/>
      <c r="J355" s="143"/>
      <c r="K355" s="144"/>
      <c r="L355" s="21"/>
      <c r="M355" s="21">
        <v>0</v>
      </c>
      <c r="N355" s="21">
        <v>0</v>
      </c>
      <c r="O355" s="22"/>
      <c r="P355" s="66"/>
      <c r="T355" s="16"/>
      <c r="U355" s="16"/>
      <c r="V355" s="16"/>
      <c r="W355" s="16"/>
    </row>
    <row r="356" spans="1:23" ht="15.75" x14ac:dyDescent="0.25">
      <c r="A356" s="162">
        <v>4</v>
      </c>
      <c r="B356" s="162"/>
      <c r="C356" s="162"/>
      <c r="D356" s="237" t="s">
        <v>79</v>
      </c>
      <c r="E356" s="237"/>
      <c r="F356" s="237"/>
      <c r="G356" s="163">
        <f>80000+4349.9</f>
        <v>84349.9</v>
      </c>
      <c r="H356" s="163"/>
      <c r="I356" s="163"/>
      <c r="J356" s="143">
        <f>80000+4000</f>
        <v>84000</v>
      </c>
      <c r="K356" s="144"/>
      <c r="L356" s="21">
        <v>92000</v>
      </c>
      <c r="M356" s="21">
        <f t="shared" si="36"/>
        <v>99.585180302525558</v>
      </c>
      <c r="N356" s="21">
        <f t="shared" si="37"/>
        <v>99.585180302525558</v>
      </c>
      <c r="O356" s="22">
        <f>80000+4349.9</f>
        <v>84349.9</v>
      </c>
      <c r="P356" s="66"/>
      <c r="T356" s="16"/>
      <c r="U356" s="16"/>
      <c r="V356" s="16"/>
      <c r="W356" s="16"/>
    </row>
    <row r="357" spans="1:23" ht="15.75" x14ac:dyDescent="0.25">
      <c r="A357" s="162">
        <v>5</v>
      </c>
      <c r="B357" s="162"/>
      <c r="C357" s="162"/>
      <c r="D357" s="237" t="s">
        <v>80</v>
      </c>
      <c r="E357" s="237"/>
      <c r="F357" s="237"/>
      <c r="G357" s="163">
        <f>190340+64660+5215+15430.15</f>
        <v>275645.15000000002</v>
      </c>
      <c r="H357" s="163"/>
      <c r="I357" s="163"/>
      <c r="J357" s="143">
        <f>37914.29+44989.5+49804+5340+42836.77+35681.01+15430</f>
        <v>231995.57</v>
      </c>
      <c r="K357" s="144"/>
      <c r="L357" s="21">
        <v>528623.68999999994</v>
      </c>
      <c r="M357" s="21">
        <f t="shared" si="36"/>
        <v>84.164575360749126</v>
      </c>
      <c r="N357" s="21">
        <f t="shared" si="37"/>
        <v>78.470954115093718</v>
      </c>
      <c r="O357" s="22">
        <f>190340+84660+20645.15</f>
        <v>295645.15000000002</v>
      </c>
      <c r="P357" s="66"/>
      <c r="T357" s="16"/>
      <c r="U357" s="16"/>
      <c r="V357" s="16"/>
      <c r="W357" s="16"/>
    </row>
    <row r="358" spans="1:23" ht="15.75" x14ac:dyDescent="0.25">
      <c r="A358" s="139">
        <v>6</v>
      </c>
      <c r="B358" s="234"/>
      <c r="C358" s="140"/>
      <c r="D358" s="139" t="s">
        <v>215</v>
      </c>
      <c r="E358" s="234"/>
      <c r="F358" s="140"/>
      <c r="G358" s="143"/>
      <c r="H358" s="173"/>
      <c r="I358" s="144"/>
      <c r="J358" s="129"/>
      <c r="K358" s="130"/>
      <c r="L358" s="21"/>
      <c r="M358" s="21"/>
      <c r="N358" s="21"/>
      <c r="O358" s="22">
        <v>60000</v>
      </c>
      <c r="P358" s="66"/>
      <c r="T358" s="16"/>
      <c r="U358" s="16"/>
      <c r="V358" s="16"/>
      <c r="W358" s="16"/>
    </row>
    <row r="359" spans="1:23" ht="15.75" x14ac:dyDescent="0.25">
      <c r="A359" s="238" t="s">
        <v>54</v>
      </c>
      <c r="B359" s="238"/>
      <c r="C359" s="238"/>
      <c r="D359" s="238"/>
      <c r="E359" s="238"/>
      <c r="F359" s="238"/>
      <c r="G359" s="239">
        <f>SUM(G353:G357)</f>
        <v>766111.42</v>
      </c>
      <c r="H359" s="240"/>
      <c r="I359" s="240"/>
      <c r="J359" s="189">
        <f>SUM(J353:J357)</f>
        <v>704501.38</v>
      </c>
      <c r="K359" s="190"/>
      <c r="L359" s="25">
        <f>SUM(L353:L357)</f>
        <v>1050230.3599999999</v>
      </c>
      <c r="M359" s="59">
        <f t="shared" si="36"/>
        <v>91.958083590504359</v>
      </c>
      <c r="N359" s="59">
        <f t="shared" si="37"/>
        <v>83.263428828321452</v>
      </c>
      <c r="O359" s="26">
        <f>SUM(O353:O358)</f>
        <v>846111.42</v>
      </c>
      <c r="P359" s="65"/>
      <c r="S359" s="17"/>
      <c r="T359" s="16"/>
      <c r="U359" s="16"/>
      <c r="V359" s="16"/>
      <c r="W359" s="16"/>
    </row>
    <row r="360" spans="1:23" ht="15.75" x14ac:dyDescent="0.25">
      <c r="O360" s="124"/>
      <c r="T360" s="16"/>
      <c r="U360" s="16"/>
      <c r="V360" s="16"/>
      <c r="W360" s="16"/>
    </row>
    <row r="361" spans="1:23" x14ac:dyDescent="0.25">
      <c r="A361" s="20" t="s">
        <v>95</v>
      </c>
      <c r="O361" s="52" t="s">
        <v>112</v>
      </c>
      <c r="P361" s="56"/>
      <c r="T361" s="16"/>
      <c r="U361" s="16"/>
      <c r="V361" s="16"/>
      <c r="W361" s="16"/>
    </row>
    <row r="362" spans="1:23" ht="15.75" x14ac:dyDescent="0.25">
      <c r="A362" s="139" t="s">
        <v>73</v>
      </c>
      <c r="B362" s="234"/>
      <c r="C362" s="140"/>
      <c r="D362" s="235" t="s">
        <v>74</v>
      </c>
      <c r="E362" s="235"/>
      <c r="F362" s="235"/>
      <c r="G362" s="236" t="s">
        <v>75</v>
      </c>
      <c r="H362" s="236"/>
      <c r="I362" s="236"/>
      <c r="J362" s="191" t="s">
        <v>156</v>
      </c>
      <c r="K362" s="192"/>
      <c r="L362" s="23" t="s">
        <v>157</v>
      </c>
      <c r="M362" s="23" t="s">
        <v>132</v>
      </c>
      <c r="N362" s="24" t="s">
        <v>138</v>
      </c>
      <c r="O362" s="24" t="s">
        <v>139</v>
      </c>
      <c r="P362" s="60"/>
      <c r="T362" s="16"/>
      <c r="U362" s="16"/>
      <c r="V362" s="16"/>
      <c r="W362" s="16"/>
    </row>
    <row r="363" spans="1:23" ht="15.75" x14ac:dyDescent="0.25">
      <c r="A363" s="139">
        <v>1</v>
      </c>
      <c r="B363" s="234"/>
      <c r="C363" s="140"/>
      <c r="D363" s="237" t="s">
        <v>76</v>
      </c>
      <c r="E363" s="237"/>
      <c r="F363" s="237"/>
      <c r="G363" s="163">
        <v>125129.06</v>
      </c>
      <c r="H363" s="163"/>
      <c r="I363" s="163"/>
      <c r="J363" s="153">
        <v>125129.06</v>
      </c>
      <c r="K363" s="154"/>
      <c r="L363" s="21">
        <v>121099.1</v>
      </c>
      <c r="M363" s="21">
        <f>J363*100/G363</f>
        <v>100</v>
      </c>
      <c r="N363" s="21">
        <f>J363*100/O363</f>
        <v>100</v>
      </c>
      <c r="O363" s="22">
        <v>125129.06</v>
      </c>
      <c r="P363" s="66"/>
      <c r="S363" s="17"/>
      <c r="T363" s="16"/>
      <c r="U363" s="16"/>
      <c r="V363" s="16"/>
      <c r="W363" s="16"/>
    </row>
    <row r="364" spans="1:23" ht="15.75" x14ac:dyDescent="0.25">
      <c r="A364" s="139">
        <v>2</v>
      </c>
      <c r="B364" s="234"/>
      <c r="C364" s="140"/>
      <c r="D364" s="237" t="s">
        <v>77</v>
      </c>
      <c r="E364" s="237"/>
      <c r="F364" s="237"/>
      <c r="G364" s="163">
        <f>21482+20255.5+24122.87</f>
        <v>65860.37</v>
      </c>
      <c r="H364" s="163"/>
      <c r="I364" s="163"/>
      <c r="J364" s="143">
        <f>17022.77+6862.16+6957.96</f>
        <v>30842.89</v>
      </c>
      <c r="K364" s="144"/>
      <c r="L364" s="21">
        <v>19285.16</v>
      </c>
      <c r="M364" s="21">
        <f t="shared" ref="M364:M367" si="38">J364*100/G364</f>
        <v>46.830726884771529</v>
      </c>
      <c r="N364" s="21">
        <f t="shared" ref="N364:N367" si="39">J364*100/O364</f>
        <v>43.683799715232112</v>
      </c>
      <c r="O364" s="22">
        <f>21482+25000+24122.87</f>
        <v>70604.87</v>
      </c>
      <c r="P364" s="66"/>
      <c r="T364" s="16"/>
      <c r="U364" s="16"/>
      <c r="V364" s="16"/>
      <c r="W364" s="16"/>
    </row>
    <row r="365" spans="1:23" ht="15.75" x14ac:dyDescent="0.25">
      <c r="A365" s="162">
        <v>3</v>
      </c>
      <c r="B365" s="162"/>
      <c r="C365" s="162"/>
      <c r="D365" s="237" t="s">
        <v>78</v>
      </c>
      <c r="E365" s="237"/>
      <c r="F365" s="237"/>
      <c r="G365" s="163">
        <v>6120</v>
      </c>
      <c r="H365" s="163"/>
      <c r="I365" s="163"/>
      <c r="J365" s="143">
        <v>2966.4</v>
      </c>
      <c r="K365" s="144"/>
      <c r="L365" s="21">
        <v>3134.7</v>
      </c>
      <c r="M365" s="21">
        <v>0</v>
      </c>
      <c r="N365" s="21">
        <f t="shared" si="39"/>
        <v>48.470588235294116</v>
      </c>
      <c r="O365" s="22">
        <v>6120</v>
      </c>
      <c r="P365" s="66"/>
      <c r="T365" s="16"/>
      <c r="U365" s="16"/>
      <c r="V365" s="16"/>
      <c r="W365" s="16"/>
    </row>
    <row r="366" spans="1:23" ht="15.75" x14ac:dyDescent="0.25">
      <c r="A366" s="162">
        <v>4</v>
      </c>
      <c r="B366" s="162"/>
      <c r="C366" s="162"/>
      <c r="D366" s="237" t="s">
        <v>79</v>
      </c>
      <c r="E366" s="237"/>
      <c r="F366" s="237"/>
      <c r="G366" s="163"/>
      <c r="H366" s="163"/>
      <c r="I366" s="163"/>
      <c r="J366" s="143"/>
      <c r="K366" s="144"/>
      <c r="L366" s="21">
        <v>0</v>
      </c>
      <c r="M366" s="21">
        <v>0</v>
      </c>
      <c r="N366" s="21">
        <v>0</v>
      </c>
      <c r="O366" s="22">
        <v>0</v>
      </c>
      <c r="P366" s="66"/>
      <c r="T366" s="16"/>
      <c r="U366" s="16"/>
      <c r="V366" s="16"/>
      <c r="W366" s="16"/>
    </row>
    <row r="367" spans="1:23" ht="15.75" x14ac:dyDescent="0.25">
      <c r="A367" s="238" t="s">
        <v>54</v>
      </c>
      <c r="B367" s="238"/>
      <c r="C367" s="238"/>
      <c r="D367" s="238"/>
      <c r="E367" s="238"/>
      <c r="F367" s="238"/>
      <c r="G367" s="239">
        <f>SUM(G363:G366)</f>
        <v>197109.43</v>
      </c>
      <c r="H367" s="240"/>
      <c r="I367" s="240"/>
      <c r="J367" s="189">
        <f>SUM(J363:J366)</f>
        <v>158938.35</v>
      </c>
      <c r="K367" s="190"/>
      <c r="L367" s="25">
        <f>SUM(L363:L366)</f>
        <v>143518.96000000002</v>
      </c>
      <c r="M367" s="59">
        <f t="shared" si="38"/>
        <v>80.634574408743404</v>
      </c>
      <c r="N367" s="59">
        <f t="shared" si="39"/>
        <v>78.739289346509139</v>
      </c>
      <c r="O367" s="26">
        <f>SUM(O363:O366)</f>
        <v>201853.93</v>
      </c>
      <c r="P367" s="65"/>
      <c r="T367" s="16"/>
      <c r="V367" s="16"/>
      <c r="W367" s="16"/>
    </row>
    <row r="368" spans="1:23" x14ac:dyDescent="0.25">
      <c r="T368" s="16"/>
      <c r="V368" s="16"/>
      <c r="W368" s="16"/>
    </row>
    <row r="369" spans="1:23" x14ac:dyDescent="0.25">
      <c r="A369" s="20" t="s">
        <v>96</v>
      </c>
      <c r="O369" s="52" t="s">
        <v>111</v>
      </c>
      <c r="T369" s="16"/>
      <c r="W369" s="16"/>
    </row>
    <row r="370" spans="1:23" ht="15.75" x14ac:dyDescent="0.25">
      <c r="A370" s="139" t="s">
        <v>73</v>
      </c>
      <c r="B370" s="234"/>
      <c r="C370" s="140"/>
      <c r="D370" s="235" t="s">
        <v>74</v>
      </c>
      <c r="E370" s="235"/>
      <c r="F370" s="235"/>
      <c r="G370" s="236" t="s">
        <v>75</v>
      </c>
      <c r="H370" s="236"/>
      <c r="I370" s="236"/>
      <c r="J370" s="191" t="s">
        <v>156</v>
      </c>
      <c r="K370" s="192"/>
      <c r="L370" s="23" t="s">
        <v>157</v>
      </c>
      <c r="M370" s="23" t="s">
        <v>132</v>
      </c>
      <c r="N370" s="24" t="s">
        <v>138</v>
      </c>
      <c r="O370" s="24" t="s">
        <v>139</v>
      </c>
      <c r="P370" s="60"/>
      <c r="T370" s="16"/>
      <c r="W370" s="16"/>
    </row>
    <row r="371" spans="1:23" ht="15.75" x14ac:dyDescent="0.25">
      <c r="A371" s="139">
        <v>1</v>
      </c>
      <c r="B371" s="234"/>
      <c r="C371" s="140"/>
      <c r="D371" s="237" t="s">
        <v>76</v>
      </c>
      <c r="E371" s="237"/>
      <c r="F371" s="237"/>
      <c r="G371" s="163">
        <v>4865603.74</v>
      </c>
      <c r="H371" s="163"/>
      <c r="I371" s="163"/>
      <c r="J371" s="153">
        <v>4865603.74</v>
      </c>
      <c r="K371" s="154"/>
      <c r="L371" s="21">
        <v>4352003.6399999997</v>
      </c>
      <c r="M371" s="21">
        <f>J371*100/G371</f>
        <v>100</v>
      </c>
      <c r="N371" s="21">
        <f>J371*100/O371</f>
        <v>100</v>
      </c>
      <c r="O371" s="22">
        <v>4865603.74</v>
      </c>
      <c r="P371" s="66"/>
      <c r="R371" s="17"/>
      <c r="T371" s="16"/>
      <c r="W371" s="16"/>
    </row>
    <row r="372" spans="1:23" ht="15.75" x14ac:dyDescent="0.25">
      <c r="A372" s="139">
        <v>2</v>
      </c>
      <c r="B372" s="234"/>
      <c r="C372" s="140"/>
      <c r="D372" s="237" t="s">
        <v>77</v>
      </c>
      <c r="E372" s="237"/>
      <c r="F372" s="237"/>
      <c r="G372" s="163">
        <f>321789+9379.2</f>
        <v>331168.2</v>
      </c>
      <c r="H372" s="163"/>
      <c r="I372" s="163"/>
      <c r="J372" s="143">
        <f>196705.9+9379.2</f>
        <v>206085.1</v>
      </c>
      <c r="K372" s="144"/>
      <c r="L372" s="21">
        <v>109316.15</v>
      </c>
      <c r="M372" s="21">
        <f t="shared" ref="M372:M376" si="40">J372*100/G372</f>
        <v>62.229737033930185</v>
      </c>
      <c r="N372" s="21">
        <f t="shared" ref="N372:N376" si="41">J372*100/O372</f>
        <v>64.043550276734138</v>
      </c>
      <c r="O372" s="22">
        <v>321789</v>
      </c>
      <c r="P372" s="66"/>
      <c r="T372" s="16"/>
      <c r="W372" s="16"/>
    </row>
    <row r="373" spans="1:23" ht="15.75" x14ac:dyDescent="0.25">
      <c r="A373" s="162">
        <v>3</v>
      </c>
      <c r="B373" s="162"/>
      <c r="C373" s="162"/>
      <c r="D373" s="237" t="s">
        <v>78</v>
      </c>
      <c r="E373" s="237"/>
      <c r="F373" s="237"/>
      <c r="G373" s="163">
        <v>61312</v>
      </c>
      <c r="H373" s="163"/>
      <c r="I373" s="163"/>
      <c r="J373" s="143">
        <v>37786.6</v>
      </c>
      <c r="K373" s="144"/>
      <c r="L373" s="21">
        <v>42410.03</v>
      </c>
      <c r="M373" s="21">
        <f t="shared" si="40"/>
        <v>61.630023486430062</v>
      </c>
      <c r="N373" s="21">
        <f t="shared" si="41"/>
        <v>61.630023486430062</v>
      </c>
      <c r="O373" s="22">
        <v>61312</v>
      </c>
      <c r="P373" s="66"/>
      <c r="T373" s="16"/>
      <c r="W373" s="16"/>
    </row>
    <row r="374" spans="1:23" ht="15.75" x14ac:dyDescent="0.25">
      <c r="A374" s="162">
        <v>4</v>
      </c>
      <c r="B374" s="162"/>
      <c r="C374" s="162"/>
      <c r="D374" s="237" t="s">
        <v>79</v>
      </c>
      <c r="E374" s="237"/>
      <c r="F374" s="237"/>
      <c r="G374" s="163"/>
      <c r="H374" s="163"/>
      <c r="I374" s="163"/>
      <c r="J374" s="143"/>
      <c r="K374" s="144"/>
      <c r="L374" s="21"/>
      <c r="M374" s="21">
        <v>0</v>
      </c>
      <c r="N374" s="21">
        <v>0</v>
      </c>
      <c r="O374" s="22">
        <v>0</v>
      </c>
      <c r="P374" s="66"/>
      <c r="T374" s="16"/>
      <c r="W374" s="16"/>
    </row>
    <row r="375" spans="1:23" ht="15.75" x14ac:dyDescent="0.25">
      <c r="A375" s="162">
        <v>5</v>
      </c>
      <c r="B375" s="162"/>
      <c r="C375" s="162"/>
      <c r="D375" s="237" t="s">
        <v>80</v>
      </c>
      <c r="E375" s="237"/>
      <c r="F375" s="237"/>
      <c r="G375" s="163">
        <v>6375</v>
      </c>
      <c r="H375" s="163"/>
      <c r="I375" s="163"/>
      <c r="J375" s="143">
        <v>4659</v>
      </c>
      <c r="K375" s="144"/>
      <c r="L375" s="21">
        <v>20951.5</v>
      </c>
      <c r="M375" s="21">
        <v>0</v>
      </c>
      <c r="N375" s="131">
        <v>0</v>
      </c>
      <c r="O375" s="132">
        <v>6586</v>
      </c>
      <c r="P375" s="66"/>
      <c r="T375" s="16"/>
      <c r="W375" s="16"/>
    </row>
    <row r="376" spans="1:23" ht="15.75" x14ac:dyDescent="0.25">
      <c r="A376" s="238" t="s">
        <v>54</v>
      </c>
      <c r="B376" s="238"/>
      <c r="C376" s="238"/>
      <c r="D376" s="238"/>
      <c r="E376" s="238"/>
      <c r="F376" s="238"/>
      <c r="G376" s="239">
        <f>SUM(G371:G375)</f>
        <v>5264458.9400000004</v>
      </c>
      <c r="H376" s="240"/>
      <c r="I376" s="240"/>
      <c r="J376" s="189">
        <f>SUM(J371:J375)</f>
        <v>5114134.4399999995</v>
      </c>
      <c r="K376" s="190"/>
      <c r="L376" s="25">
        <f>SUM(L371:L375)</f>
        <v>4524681.32</v>
      </c>
      <c r="M376" s="59">
        <f t="shared" si="40"/>
        <v>97.144540365623953</v>
      </c>
      <c r="N376" s="133">
        <f t="shared" si="41"/>
        <v>97.314015399269792</v>
      </c>
      <c r="O376" s="26">
        <f>SUM(O371:O375)</f>
        <v>5255290.74</v>
      </c>
      <c r="P376" s="65"/>
      <c r="T376" s="16"/>
      <c r="W376" s="16"/>
    </row>
    <row r="377" spans="1:23" ht="15.75" x14ac:dyDescent="0.25">
      <c r="N377" s="49"/>
      <c r="O377" s="122"/>
      <c r="P377" s="31"/>
      <c r="T377" s="16"/>
      <c r="W377" s="16"/>
    </row>
    <row r="378" spans="1:23" x14ac:dyDescent="0.25">
      <c r="A378" s="20" t="s">
        <v>97</v>
      </c>
      <c r="O378" s="52" t="s">
        <v>110</v>
      </c>
      <c r="P378" s="56"/>
      <c r="T378" s="16"/>
      <c r="W378" s="16"/>
    </row>
    <row r="379" spans="1:23" ht="15.75" x14ac:dyDescent="0.25">
      <c r="A379" s="139" t="s">
        <v>73</v>
      </c>
      <c r="B379" s="234"/>
      <c r="C379" s="140"/>
      <c r="D379" s="235" t="s">
        <v>74</v>
      </c>
      <c r="E379" s="235"/>
      <c r="F379" s="235"/>
      <c r="G379" s="236" t="s">
        <v>75</v>
      </c>
      <c r="H379" s="236"/>
      <c r="I379" s="236"/>
      <c r="J379" s="191" t="s">
        <v>156</v>
      </c>
      <c r="K379" s="192"/>
      <c r="L379" s="23" t="s">
        <v>157</v>
      </c>
      <c r="M379" s="23" t="s">
        <v>132</v>
      </c>
      <c r="N379" s="24" t="s">
        <v>138</v>
      </c>
      <c r="O379" s="24" t="s">
        <v>137</v>
      </c>
      <c r="P379" s="60"/>
      <c r="T379" s="16"/>
      <c r="W379" s="16"/>
    </row>
    <row r="380" spans="1:23" ht="15.75" x14ac:dyDescent="0.25">
      <c r="A380" s="139">
        <v>1</v>
      </c>
      <c r="B380" s="234"/>
      <c r="C380" s="140"/>
      <c r="D380" s="237" t="s">
        <v>76</v>
      </c>
      <c r="E380" s="237"/>
      <c r="F380" s="237"/>
      <c r="G380" s="163">
        <v>1280886.29</v>
      </c>
      <c r="H380" s="163"/>
      <c r="I380" s="163"/>
      <c r="J380" s="153">
        <v>1280886.29</v>
      </c>
      <c r="K380" s="154"/>
      <c r="L380" s="21">
        <v>1248156.3999999999</v>
      </c>
      <c r="M380" s="21">
        <f>J380*100/G380</f>
        <v>100</v>
      </c>
      <c r="N380" s="21">
        <f>J380*100/O380</f>
        <v>100</v>
      </c>
      <c r="O380" s="22">
        <v>1280886.29</v>
      </c>
      <c r="P380" s="66"/>
      <c r="T380" s="16"/>
    </row>
    <row r="381" spans="1:23" ht="15.75" x14ac:dyDescent="0.25">
      <c r="A381" s="139">
        <v>2</v>
      </c>
      <c r="B381" s="234"/>
      <c r="C381" s="140"/>
      <c r="D381" s="237" t="s">
        <v>77</v>
      </c>
      <c r="E381" s="237"/>
      <c r="F381" s="237"/>
      <c r="G381" s="163">
        <f>95507+0.03</f>
        <v>95507.03</v>
      </c>
      <c r="H381" s="163"/>
      <c r="I381" s="163"/>
      <c r="J381" s="143">
        <v>76162.81</v>
      </c>
      <c r="K381" s="144"/>
      <c r="L381" s="21">
        <v>38379.800000000003</v>
      </c>
      <c r="M381" s="21">
        <f t="shared" ref="M381:M384" si="42">J381*100/G381</f>
        <v>79.745763217639578</v>
      </c>
      <c r="N381" s="21">
        <f t="shared" ref="N381:N384" si="43">J381*100/O381</f>
        <v>79.745763217639578</v>
      </c>
      <c r="O381" s="22">
        <f>95507+0.03</f>
        <v>95507.03</v>
      </c>
      <c r="P381" s="66"/>
      <c r="T381" s="16"/>
    </row>
    <row r="382" spans="1:23" ht="15.75" x14ac:dyDescent="0.25">
      <c r="A382" s="162">
        <v>3</v>
      </c>
      <c r="B382" s="162"/>
      <c r="C382" s="162"/>
      <c r="D382" s="237" t="s">
        <v>78</v>
      </c>
      <c r="E382" s="237"/>
      <c r="F382" s="237"/>
      <c r="G382" s="163">
        <v>21125</v>
      </c>
      <c r="H382" s="163"/>
      <c r="I382" s="163"/>
      <c r="J382" s="143">
        <v>7924.9</v>
      </c>
      <c r="K382" s="144"/>
      <c r="L382" s="21">
        <v>17091.25</v>
      </c>
      <c r="M382" s="21">
        <v>0</v>
      </c>
      <c r="N382" s="21">
        <f t="shared" si="43"/>
        <v>37.514319526627219</v>
      </c>
      <c r="O382" s="22">
        <v>21125</v>
      </c>
      <c r="P382" s="66"/>
      <c r="T382" s="16"/>
    </row>
    <row r="383" spans="1:23" ht="15.75" x14ac:dyDescent="0.25">
      <c r="A383" s="162">
        <v>4</v>
      </c>
      <c r="B383" s="162"/>
      <c r="C383" s="162"/>
      <c r="D383" s="237" t="s">
        <v>79</v>
      </c>
      <c r="E383" s="237"/>
      <c r="F383" s="237"/>
      <c r="G383" s="163"/>
      <c r="H383" s="163"/>
      <c r="I383" s="163"/>
      <c r="J383" s="143"/>
      <c r="K383" s="144"/>
      <c r="L383" s="21">
        <v>0</v>
      </c>
      <c r="M383" s="21">
        <v>0</v>
      </c>
      <c r="N383" s="21">
        <v>0</v>
      </c>
      <c r="O383" s="22">
        <v>0</v>
      </c>
      <c r="P383" s="66"/>
      <c r="T383" s="16"/>
    </row>
    <row r="384" spans="1:23" ht="15.75" x14ac:dyDescent="0.25">
      <c r="A384" s="238" t="s">
        <v>54</v>
      </c>
      <c r="B384" s="238"/>
      <c r="C384" s="238"/>
      <c r="D384" s="238"/>
      <c r="E384" s="238"/>
      <c r="F384" s="238"/>
      <c r="G384" s="239">
        <f>SUM(G380:G383)</f>
        <v>1397518.32</v>
      </c>
      <c r="H384" s="240"/>
      <c r="I384" s="240"/>
      <c r="J384" s="189">
        <f>SUM(J380:J383)</f>
        <v>1364974</v>
      </c>
      <c r="K384" s="190"/>
      <c r="L384" s="25">
        <f>SUM(L380:L383)</f>
        <v>1303627.45</v>
      </c>
      <c r="M384" s="59">
        <f t="shared" si="42"/>
        <v>97.671277754698764</v>
      </c>
      <c r="N384" s="59">
        <f t="shared" si="43"/>
        <v>97.671277754698764</v>
      </c>
      <c r="O384" s="26">
        <f>SUM(O380:O383)</f>
        <v>1397518.32</v>
      </c>
      <c r="P384" s="65"/>
    </row>
    <row r="385" spans="1:24" ht="15.75" x14ac:dyDescent="0.25">
      <c r="O385" s="135">
        <v>10</v>
      </c>
    </row>
    <row r="386" spans="1:24" x14ac:dyDescent="0.25">
      <c r="A386" s="20" t="s">
        <v>98</v>
      </c>
      <c r="O386" s="52" t="s">
        <v>109</v>
      </c>
    </row>
    <row r="387" spans="1:24" ht="15.75" x14ac:dyDescent="0.25">
      <c r="A387" s="161" t="s">
        <v>73</v>
      </c>
      <c r="B387" s="161"/>
      <c r="C387" s="161" t="s">
        <v>74</v>
      </c>
      <c r="D387" s="161"/>
      <c r="E387" s="152" t="s">
        <v>128</v>
      </c>
      <c r="F387" s="152"/>
      <c r="G387" s="159" t="s">
        <v>160</v>
      </c>
      <c r="H387" s="160"/>
      <c r="I387" s="159" t="s">
        <v>164</v>
      </c>
      <c r="J387" s="160"/>
      <c r="K387" s="159" t="s">
        <v>131</v>
      </c>
      <c r="L387" s="160"/>
      <c r="M387" s="68" t="s">
        <v>132</v>
      </c>
      <c r="N387" s="73" t="s">
        <v>161</v>
      </c>
      <c r="O387" s="50" t="s">
        <v>137</v>
      </c>
      <c r="P387" s="70"/>
      <c r="S387" s="17"/>
      <c r="T387" s="17"/>
      <c r="U387" s="17"/>
      <c r="V387" s="17"/>
      <c r="W387" s="17"/>
    </row>
    <row r="388" spans="1:24" ht="15.75" x14ac:dyDescent="0.25">
      <c r="A388" s="162">
        <v>1</v>
      </c>
      <c r="B388" s="162"/>
      <c r="C388" s="141" t="s">
        <v>76</v>
      </c>
      <c r="D388" s="142"/>
      <c r="E388" s="163">
        <f>G201+G212+G221+G230+G238+G247+G256+G265+G273+G282+G290+G299+G308+G317+G328+G337+G353+G363+G371+G380</f>
        <v>8914997.120000001</v>
      </c>
      <c r="F388" s="163"/>
      <c r="G388" s="150">
        <f>J201+J212+J221+J230+J238+J247+J256+J265+J273+J282+J290+J299+J308+J317+J328+J337+J353+J363+J371+J380</f>
        <v>8914997.120000001</v>
      </c>
      <c r="H388" s="151"/>
      <c r="I388" s="175">
        <v>8524870.0399999991</v>
      </c>
      <c r="J388" s="176"/>
      <c r="K388" s="143">
        <v>8150885.21</v>
      </c>
      <c r="L388" s="144"/>
      <c r="M388" s="69">
        <f>G388*100/E388</f>
        <v>100</v>
      </c>
      <c r="N388" s="74">
        <f>G388*100/O388</f>
        <v>99.921637537262001</v>
      </c>
      <c r="O388" s="22">
        <f>O201+O212+O221+O230+O238+O247+O256+O265+O273+O282+O290+O299+O308+O317+O328+O337+O353+O363+O371+O380+32695.31</f>
        <v>8921988.6100000013</v>
      </c>
      <c r="P388" s="71"/>
      <c r="S388" s="17"/>
      <c r="T388" s="16"/>
      <c r="U388" s="16"/>
      <c r="V388" s="39"/>
    </row>
    <row r="389" spans="1:24" ht="15.75" x14ac:dyDescent="0.25">
      <c r="A389" s="162">
        <v>2</v>
      </c>
      <c r="B389" s="162"/>
      <c r="C389" s="141" t="s">
        <v>77</v>
      </c>
      <c r="D389" s="142"/>
      <c r="E389" s="163">
        <f>G202+G213+G222+G231+G239+G248+G257+G266+G274+G283+G291+G300+G309+G318+G329+G338+G354+G364+G372+G381</f>
        <v>2023486.7599999998</v>
      </c>
      <c r="F389" s="163"/>
      <c r="G389" s="143">
        <f>J202+J213+J222+J231+J239+J248+J257+J266+J274+J283+J291+J300+J309+J318+J329+J338+J354+J364+J372+J381</f>
        <v>1411089.33</v>
      </c>
      <c r="H389" s="144"/>
      <c r="I389" s="153">
        <v>1361893.26</v>
      </c>
      <c r="J389" s="154"/>
      <c r="K389" s="143">
        <v>1506915.17</v>
      </c>
      <c r="L389" s="144"/>
      <c r="M389" s="69">
        <f t="shared" ref="M389:M394" si="44">G389*100/E389</f>
        <v>69.735535605876663</v>
      </c>
      <c r="N389" s="74">
        <f t="shared" ref="N389:N394" si="45">G389*100/O389</f>
        <v>69.569636636682034</v>
      </c>
      <c r="O389" s="22">
        <f>O202+O213+O222+O231+O239+O248+O257+O266+O274+O283+O291+O300+O309+O318+O329+O338+O354+O364+O372+O381+31867+9460</f>
        <v>2028312.0599999998</v>
      </c>
      <c r="P389" s="71"/>
      <c r="R389" s="17"/>
      <c r="S389" s="17"/>
      <c r="T389" s="16"/>
      <c r="U389" s="16"/>
      <c r="V389" s="16"/>
      <c r="W389" s="17"/>
    </row>
    <row r="390" spans="1:24" ht="15.75" x14ac:dyDescent="0.25">
      <c r="A390" s="139">
        <v>3</v>
      </c>
      <c r="B390" s="140"/>
      <c r="C390" s="141" t="s">
        <v>78</v>
      </c>
      <c r="D390" s="142"/>
      <c r="E390" s="163">
        <f>G214+G223+G240+G249+G258+G267+G275+G284+G292+G301+G310+G319+G330+G355+G365+G373+G382</f>
        <v>269574.01</v>
      </c>
      <c r="F390" s="163"/>
      <c r="G390" s="150">
        <f>J249+J319+J330+J365+J373+J382</f>
        <v>213075.18</v>
      </c>
      <c r="H390" s="151"/>
      <c r="I390" s="150">
        <v>194765.78</v>
      </c>
      <c r="J390" s="151"/>
      <c r="K390" s="143">
        <v>187251.77</v>
      </c>
      <c r="L390" s="144"/>
      <c r="M390" s="69">
        <f t="shared" si="44"/>
        <v>79.041440233797019</v>
      </c>
      <c r="N390" s="74">
        <f t="shared" si="45"/>
        <v>79.041440233797019</v>
      </c>
      <c r="O390" s="22">
        <f>O249+O319+O330+O365+O373+O382</f>
        <v>269574.01</v>
      </c>
      <c r="P390" s="71"/>
      <c r="S390" s="17"/>
      <c r="T390" s="16"/>
      <c r="U390" s="16"/>
      <c r="V390" s="39"/>
    </row>
    <row r="391" spans="1:24" ht="15.75" x14ac:dyDescent="0.25">
      <c r="A391" s="139">
        <v>4</v>
      </c>
      <c r="B391" s="140"/>
      <c r="C391" s="141" t="s">
        <v>79</v>
      </c>
      <c r="D391" s="142"/>
      <c r="E391" s="163">
        <f>G203+G215+G224+G233+G241+G250+G259+G276+G268+G285+G293+G302+G311+G320+G331+G340+G356+G366+G374+G383</f>
        <v>427144.28</v>
      </c>
      <c r="F391" s="163"/>
      <c r="G391" s="143">
        <f>J203+J215+J233+J241+J250+J259+J268+J276+J285+J293+J302+J311+J320+J331+J340+J356+J366+J374+J383</f>
        <v>380103.3</v>
      </c>
      <c r="H391" s="144"/>
      <c r="I391" s="143">
        <v>430330.64</v>
      </c>
      <c r="J391" s="144"/>
      <c r="K391" s="143">
        <v>245478.88</v>
      </c>
      <c r="L391" s="144"/>
      <c r="M391" s="69">
        <f t="shared" si="44"/>
        <v>88.987098223579153</v>
      </c>
      <c r="N391" s="74">
        <f t="shared" si="45"/>
        <v>83.040933909428361</v>
      </c>
      <c r="O391" s="22">
        <f>O203+O215+O224+O233+O241+O250+O259+O268+O276+O285+O293+O302+O311+O320+O331+O340+O356+O366+O374+O383</f>
        <v>457730.04000000004</v>
      </c>
      <c r="P391" s="71"/>
      <c r="R391" s="17"/>
      <c r="S391" s="17"/>
      <c r="T391" s="16"/>
      <c r="U391" s="16"/>
      <c r="V391" s="16"/>
      <c r="W391" s="16"/>
      <c r="X391" s="17"/>
    </row>
    <row r="392" spans="1:24" ht="15.75" x14ac:dyDescent="0.25">
      <c r="A392" s="139">
        <v>5</v>
      </c>
      <c r="B392" s="140"/>
      <c r="C392" s="141" t="s">
        <v>80</v>
      </c>
      <c r="D392" s="142"/>
      <c r="E392" s="163">
        <f>G216+G251+G260+G277+G294+G303+G321+G341+G357+G375</f>
        <v>5352697.96</v>
      </c>
      <c r="F392" s="163"/>
      <c r="G392" s="143">
        <f>J216+J251+J260+J277+J294+J303+J321+J341+J357+J375-0.01+0.01</f>
        <v>4512873.3600000003</v>
      </c>
      <c r="H392" s="144"/>
      <c r="I392" s="153">
        <v>5071378.04</v>
      </c>
      <c r="J392" s="154"/>
      <c r="K392" s="143">
        <v>4543963.46</v>
      </c>
      <c r="L392" s="144"/>
      <c r="M392" s="69">
        <f t="shared" si="44"/>
        <v>84.310256131096935</v>
      </c>
      <c r="N392" s="74">
        <f t="shared" si="45"/>
        <v>82.831310085254913</v>
      </c>
      <c r="O392" s="22">
        <f>O216+O251+O260+O277+O294+O303+O321+O341+O357+O375</f>
        <v>5448269.9299999997</v>
      </c>
      <c r="P392" s="71"/>
      <c r="R392" s="17"/>
      <c r="S392" s="17"/>
      <c r="T392" s="41"/>
      <c r="U392" s="16"/>
      <c r="V392" s="16"/>
    </row>
    <row r="393" spans="1:24" ht="15.75" x14ac:dyDescent="0.25">
      <c r="A393" s="139">
        <v>6</v>
      </c>
      <c r="B393" s="140"/>
      <c r="C393" s="141" t="s">
        <v>215</v>
      </c>
      <c r="D393" s="142"/>
      <c r="E393" s="143"/>
      <c r="F393" s="144"/>
      <c r="G393" s="129"/>
      <c r="H393" s="130"/>
      <c r="I393" s="127"/>
      <c r="J393" s="128"/>
      <c r="K393" s="129"/>
      <c r="L393" s="130"/>
      <c r="M393" s="69"/>
      <c r="N393" s="74"/>
      <c r="O393" s="22">
        <v>110000</v>
      </c>
      <c r="P393" s="71"/>
      <c r="R393" s="17"/>
      <c r="S393" s="17"/>
      <c r="T393" s="41"/>
      <c r="U393" s="16"/>
      <c r="V393" s="16"/>
    </row>
    <row r="394" spans="1:24" ht="15.75" x14ac:dyDescent="0.25">
      <c r="A394" s="169" t="s">
        <v>54</v>
      </c>
      <c r="B394" s="170"/>
      <c r="C394" s="164"/>
      <c r="D394" s="165"/>
      <c r="E394" s="166">
        <f>SUM(E388:E392)</f>
        <v>16987900.129999999</v>
      </c>
      <c r="F394" s="166"/>
      <c r="G394" s="167">
        <f>SUM(G388:G392)</f>
        <v>15432138.290000003</v>
      </c>
      <c r="H394" s="168"/>
      <c r="I394" s="167">
        <f>SUM(I388:I392)</f>
        <v>15583237.759999998</v>
      </c>
      <c r="J394" s="168"/>
      <c r="K394" s="243">
        <f t="shared" ref="K394" si="46">SUM(K388:K392)</f>
        <v>14634494.489999998</v>
      </c>
      <c r="L394" s="244"/>
      <c r="M394" s="59">
        <f t="shared" si="44"/>
        <v>90.84194145188917</v>
      </c>
      <c r="N394" s="108">
        <f t="shared" si="45"/>
        <v>89.53498794446152</v>
      </c>
      <c r="O394" s="26">
        <f>SUM(O388:O393)</f>
        <v>17235874.650000002</v>
      </c>
      <c r="P394" s="65"/>
      <c r="R394" s="16"/>
      <c r="S394" s="17"/>
      <c r="T394" s="16"/>
      <c r="U394" s="16"/>
      <c r="V394" s="16"/>
    </row>
    <row r="395" spans="1:24" x14ac:dyDescent="0.25">
      <c r="E395" s="155"/>
      <c r="F395" s="156"/>
      <c r="G395" s="241"/>
      <c r="H395" s="241"/>
      <c r="I395" s="241"/>
      <c r="J395" s="241"/>
      <c r="K395" s="241"/>
      <c r="L395" s="241"/>
      <c r="P395" s="56"/>
      <c r="Q395" s="16"/>
      <c r="R395" s="17"/>
      <c r="S395" s="38"/>
      <c r="T395" s="16"/>
      <c r="U395" s="16"/>
      <c r="V395" s="16"/>
    </row>
    <row r="396" spans="1:24" ht="15.75" x14ac:dyDescent="0.25">
      <c r="C396" s="17"/>
      <c r="E396" s="157"/>
      <c r="F396" s="158"/>
      <c r="G396" s="157"/>
      <c r="H396" s="158"/>
      <c r="I396" s="158"/>
      <c r="J396" s="157"/>
      <c r="K396" s="158"/>
      <c r="L396" s="158"/>
      <c r="M396" s="123"/>
      <c r="O396" s="126"/>
      <c r="S396" s="17"/>
      <c r="T396" s="16"/>
      <c r="U396" s="16"/>
      <c r="V396" s="16"/>
    </row>
    <row r="397" spans="1:24" x14ac:dyDescent="0.25">
      <c r="S397" s="16"/>
      <c r="T397" s="16"/>
      <c r="U397" s="16"/>
      <c r="V397" s="16"/>
    </row>
    <row r="398" spans="1:24" x14ac:dyDescent="0.25">
      <c r="S398" s="16"/>
      <c r="T398" s="16"/>
      <c r="U398" s="16"/>
      <c r="V398" s="16"/>
    </row>
    <row r="399" spans="1:24" x14ac:dyDescent="0.25">
      <c r="S399" s="16"/>
      <c r="T399" s="16"/>
      <c r="U399" s="16"/>
      <c r="V399" s="16"/>
      <c r="W399" s="17"/>
    </row>
    <row r="400" spans="1:24" x14ac:dyDescent="0.25">
      <c r="P400" s="16"/>
      <c r="R400" s="17"/>
      <c r="S400" s="16"/>
      <c r="T400" s="16"/>
      <c r="U400" s="16"/>
      <c r="V400" s="16"/>
    </row>
    <row r="401" spans="1:22" x14ac:dyDescent="0.25">
      <c r="R401" s="17"/>
      <c r="S401" s="16"/>
      <c r="T401" s="16"/>
      <c r="U401" s="16"/>
      <c r="V401" s="16"/>
    </row>
    <row r="402" spans="1:22" x14ac:dyDescent="0.25">
      <c r="R402" s="17"/>
      <c r="S402" s="16"/>
      <c r="T402" s="16"/>
      <c r="U402" s="16"/>
      <c r="V402" s="16"/>
    </row>
    <row r="403" spans="1:22" x14ac:dyDescent="0.25">
      <c r="S403" s="16"/>
      <c r="T403" s="16"/>
      <c r="U403" s="16"/>
    </row>
    <row r="404" spans="1:22" x14ac:dyDescent="0.25">
      <c r="R404" s="17"/>
      <c r="S404" s="16"/>
      <c r="T404" s="16"/>
      <c r="U404" s="16"/>
    </row>
    <row r="405" spans="1:22" x14ac:dyDescent="0.25">
      <c r="S405" s="16"/>
      <c r="T405" s="16"/>
      <c r="U405" s="16"/>
    </row>
    <row r="406" spans="1:22" x14ac:dyDescent="0.25">
      <c r="R406" s="16"/>
      <c r="S406" s="16"/>
      <c r="T406" s="16"/>
      <c r="U406" s="16"/>
    </row>
    <row r="407" spans="1:22" x14ac:dyDescent="0.25">
      <c r="S407" s="16"/>
      <c r="T407" s="16"/>
      <c r="U407" s="16"/>
    </row>
    <row r="408" spans="1:22" x14ac:dyDescent="0.25">
      <c r="S408" s="16"/>
      <c r="T408" s="16"/>
      <c r="U408" s="16"/>
    </row>
    <row r="409" spans="1:22" x14ac:dyDescent="0.25">
      <c r="S409" s="16"/>
      <c r="T409" s="16"/>
      <c r="U409" s="16"/>
    </row>
    <row r="410" spans="1:22" x14ac:dyDescent="0.25">
      <c r="S410" s="17"/>
      <c r="T410" s="16"/>
      <c r="U410" s="16"/>
    </row>
    <row r="411" spans="1:22" x14ac:dyDescent="0.25">
      <c r="O411" s="31"/>
      <c r="P411" s="31"/>
      <c r="S411" s="17"/>
      <c r="T411" s="16"/>
      <c r="U411" s="16"/>
    </row>
    <row r="412" spans="1:22" ht="15.75" x14ac:dyDescent="0.25">
      <c r="A412" s="7" t="s">
        <v>162</v>
      </c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S412" s="17"/>
      <c r="T412" s="16"/>
      <c r="U412" s="16"/>
    </row>
    <row r="413" spans="1:22" ht="15.75" x14ac:dyDescent="0.25">
      <c r="A413" s="7" t="s">
        <v>210</v>
      </c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P413" s="17"/>
      <c r="S413" s="17"/>
      <c r="T413" s="16"/>
      <c r="U413" s="16"/>
    </row>
    <row r="414" spans="1:22" ht="15.75" x14ac:dyDescent="0.25">
      <c r="A414" s="7"/>
      <c r="B414" s="7"/>
      <c r="R414" s="16"/>
      <c r="T414" s="16"/>
      <c r="U414" s="16"/>
    </row>
    <row r="415" spans="1:22" ht="15.75" x14ac:dyDescent="0.25">
      <c r="A415" s="7" t="s">
        <v>211</v>
      </c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16"/>
      <c r="T415" s="16"/>
      <c r="U415" s="16"/>
    </row>
    <row r="416" spans="1:22" ht="15.75" x14ac:dyDescent="0.25">
      <c r="A416" s="7" t="s">
        <v>163</v>
      </c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T416" s="16"/>
      <c r="U416" s="16"/>
    </row>
    <row r="417" spans="1:20" ht="15.75" x14ac:dyDescent="0.25">
      <c r="A417" s="7" t="s">
        <v>179</v>
      </c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T417" s="16"/>
    </row>
    <row r="418" spans="1:20" ht="15.75" x14ac:dyDescent="0.25">
      <c r="A418" s="7" t="s">
        <v>212</v>
      </c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16"/>
      <c r="R418" s="16"/>
      <c r="S418" s="16"/>
      <c r="T418" s="16"/>
    </row>
    <row r="419" spans="1:20" ht="15.75" x14ac:dyDescent="0.25">
      <c r="A419" s="7" t="s">
        <v>104</v>
      </c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T419" s="16"/>
    </row>
    <row r="420" spans="1:20" x14ac:dyDescent="0.25">
      <c r="T420" s="16"/>
    </row>
    <row r="421" spans="1:20" x14ac:dyDescent="0.25">
      <c r="O421" s="63">
        <v>11</v>
      </c>
      <c r="T421" s="16"/>
    </row>
    <row r="422" spans="1:20" ht="15.75" x14ac:dyDescent="0.25">
      <c r="A422" s="7" t="s">
        <v>218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16"/>
      <c r="S422" s="17"/>
      <c r="T422" s="16"/>
    </row>
    <row r="423" spans="1:20" ht="15.75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18"/>
      <c r="N423" s="18"/>
      <c r="O423" s="7"/>
      <c r="P423" s="16"/>
      <c r="T423" s="16"/>
    </row>
    <row r="424" spans="1:20" ht="15.75" x14ac:dyDescent="0.25">
      <c r="A424" s="7" t="s">
        <v>213</v>
      </c>
      <c r="R424" s="16"/>
      <c r="T424" s="16"/>
    </row>
    <row r="425" spans="1:20" ht="15.75" x14ac:dyDescent="0.25">
      <c r="A425" s="7" t="s">
        <v>133</v>
      </c>
      <c r="R425" s="17"/>
      <c r="T425" s="16"/>
    </row>
    <row r="426" spans="1:20" ht="15.75" x14ac:dyDescent="0.25">
      <c r="A426" s="7" t="s">
        <v>214</v>
      </c>
      <c r="T426" s="16"/>
    </row>
    <row r="427" spans="1:20" ht="15.75" x14ac:dyDescent="0.25">
      <c r="A427" s="7" t="s">
        <v>216</v>
      </c>
      <c r="T427" s="16"/>
    </row>
    <row r="428" spans="1:20" ht="15.75" x14ac:dyDescent="0.25">
      <c r="A428" s="7" t="s">
        <v>217</v>
      </c>
      <c r="N428" s="7"/>
      <c r="O428" s="7"/>
      <c r="T428" s="16"/>
    </row>
    <row r="429" spans="1:20" ht="15.75" x14ac:dyDescent="0.25">
      <c r="A429" s="7"/>
      <c r="L429" s="7" t="s">
        <v>99</v>
      </c>
      <c r="M429" s="7"/>
      <c r="N429" s="7"/>
      <c r="O429" s="7"/>
      <c r="P429" s="16"/>
      <c r="Q429" s="16"/>
      <c r="T429" s="16"/>
    </row>
    <row r="430" spans="1:20" ht="15.75" x14ac:dyDescent="0.25">
      <c r="A430" s="7"/>
      <c r="L430" s="7" t="s">
        <v>100</v>
      </c>
      <c r="M430" s="7"/>
      <c r="N430" s="7"/>
      <c r="O430" s="7"/>
      <c r="P430" s="16"/>
      <c r="T430" s="16"/>
    </row>
    <row r="431" spans="1:20" ht="15.75" x14ac:dyDescent="0.25">
      <c r="A431" s="7"/>
      <c r="L431" s="7" t="s">
        <v>101</v>
      </c>
      <c r="M431" s="7"/>
      <c r="N431" s="16"/>
      <c r="P431" s="16"/>
      <c r="T431" s="16"/>
    </row>
    <row r="432" spans="1:20" ht="15.75" x14ac:dyDescent="0.25">
      <c r="L432" s="16"/>
      <c r="N432" s="7"/>
      <c r="O432" s="124"/>
      <c r="P432" s="16"/>
      <c r="T432" s="16"/>
    </row>
    <row r="433" spans="12:20" ht="15.75" x14ac:dyDescent="0.25">
      <c r="L433" s="7"/>
      <c r="M433" s="7"/>
      <c r="N433" s="7"/>
      <c r="T433" s="16"/>
    </row>
    <row r="434" spans="12:20" ht="15.75" x14ac:dyDescent="0.25">
      <c r="L434" s="7"/>
      <c r="M434" s="7"/>
      <c r="N434" s="7"/>
      <c r="T434" s="16"/>
    </row>
    <row r="435" spans="12:20" ht="15.75" x14ac:dyDescent="0.25">
      <c r="L435" s="7"/>
      <c r="M435" s="7"/>
      <c r="N435" s="7"/>
      <c r="T435" s="16"/>
    </row>
    <row r="436" spans="12:20" ht="15.75" x14ac:dyDescent="0.25">
      <c r="M436" s="7"/>
      <c r="N436" s="7"/>
      <c r="T436" s="16"/>
    </row>
    <row r="437" spans="12:20" ht="15.75" x14ac:dyDescent="0.25">
      <c r="M437" s="7"/>
      <c r="N437" s="7"/>
      <c r="T437" s="16"/>
    </row>
    <row r="438" spans="12:20" x14ac:dyDescent="0.25">
      <c r="M438" s="16"/>
      <c r="O438" s="16"/>
    </row>
    <row r="439" spans="12:20" x14ac:dyDescent="0.25">
      <c r="O439" s="16"/>
    </row>
    <row r="440" spans="12:20" x14ac:dyDescent="0.25">
      <c r="O440" s="16"/>
    </row>
    <row r="441" spans="12:20" x14ac:dyDescent="0.25">
      <c r="O441" s="17"/>
      <c r="P441" s="31"/>
    </row>
    <row r="445" spans="12:20" x14ac:dyDescent="0.25">
      <c r="O445" s="31"/>
      <c r="P445" s="31"/>
    </row>
    <row r="449" spans="12:16" x14ac:dyDescent="0.25">
      <c r="L449" s="16"/>
    </row>
    <row r="450" spans="12:16" x14ac:dyDescent="0.25">
      <c r="L450" s="16"/>
    </row>
    <row r="451" spans="12:16" x14ac:dyDescent="0.25">
      <c r="L451" s="16"/>
    </row>
    <row r="452" spans="12:16" x14ac:dyDescent="0.25">
      <c r="L452" s="16"/>
      <c r="P452" s="31"/>
    </row>
    <row r="453" spans="12:16" x14ac:dyDescent="0.25">
      <c r="L453" s="16"/>
    </row>
    <row r="454" spans="12:16" x14ac:dyDescent="0.25">
      <c r="L454" s="16"/>
    </row>
    <row r="455" spans="12:16" x14ac:dyDescent="0.25">
      <c r="L455" s="16"/>
      <c r="O455" s="63">
        <v>12</v>
      </c>
    </row>
    <row r="456" spans="12:16" x14ac:dyDescent="0.25">
      <c r="L456" s="16"/>
    </row>
    <row r="457" spans="12:16" x14ac:dyDescent="0.25">
      <c r="L457" s="16"/>
    </row>
    <row r="458" spans="12:16" x14ac:dyDescent="0.25">
      <c r="L458" s="16"/>
      <c r="P458" s="31"/>
    </row>
    <row r="459" spans="12:16" x14ac:dyDescent="0.25">
      <c r="L459" s="16"/>
      <c r="P459" s="31"/>
    </row>
    <row r="460" spans="12:16" x14ac:dyDescent="0.25">
      <c r="L460" s="16"/>
    </row>
    <row r="461" spans="12:16" x14ac:dyDescent="0.25">
      <c r="L461" s="16"/>
    </row>
    <row r="462" spans="12:16" x14ac:dyDescent="0.25">
      <c r="L462" s="16"/>
    </row>
    <row r="463" spans="12:16" x14ac:dyDescent="0.25">
      <c r="L463" s="16"/>
    </row>
    <row r="464" spans="12:16" x14ac:dyDescent="0.25">
      <c r="L464" s="16"/>
    </row>
    <row r="465" spans="12:12" x14ac:dyDescent="0.25">
      <c r="L465" s="16"/>
    </row>
    <row r="466" spans="12:12" x14ac:dyDescent="0.25">
      <c r="L466" s="16"/>
    </row>
    <row r="467" spans="12:12" x14ac:dyDescent="0.25">
      <c r="L467" s="16"/>
    </row>
    <row r="468" spans="12:12" x14ac:dyDescent="0.25">
      <c r="L468" s="16"/>
    </row>
    <row r="469" spans="12:12" x14ac:dyDescent="0.25">
      <c r="L469" s="16"/>
    </row>
    <row r="470" spans="12:12" x14ac:dyDescent="0.25">
      <c r="L470" s="16"/>
    </row>
    <row r="471" spans="12:12" x14ac:dyDescent="0.25">
      <c r="L471" s="16"/>
    </row>
    <row r="472" spans="12:12" x14ac:dyDescent="0.25">
      <c r="L472" s="16"/>
    </row>
    <row r="473" spans="12:12" x14ac:dyDescent="0.25">
      <c r="L473" s="16"/>
    </row>
    <row r="474" spans="12:12" x14ac:dyDescent="0.25">
      <c r="L474" s="16"/>
    </row>
    <row r="475" spans="12:12" x14ac:dyDescent="0.25">
      <c r="L475" s="16"/>
    </row>
    <row r="476" spans="12:12" x14ac:dyDescent="0.25">
      <c r="L476" s="16"/>
    </row>
    <row r="477" spans="12:12" x14ac:dyDescent="0.25">
      <c r="L477" s="16"/>
    </row>
    <row r="478" spans="12:12" x14ac:dyDescent="0.25">
      <c r="L478" s="16"/>
    </row>
    <row r="479" spans="12:12" x14ac:dyDescent="0.25">
      <c r="L479" s="16"/>
    </row>
    <row r="480" spans="12:12" x14ac:dyDescent="0.25">
      <c r="L480" s="16"/>
    </row>
    <row r="481" spans="12:15" x14ac:dyDescent="0.25">
      <c r="L481" s="16"/>
    </row>
    <row r="482" spans="12:15" x14ac:dyDescent="0.25">
      <c r="L482" s="16"/>
    </row>
    <row r="483" spans="12:15" x14ac:dyDescent="0.25">
      <c r="L483" s="16"/>
    </row>
    <row r="484" spans="12:15" x14ac:dyDescent="0.25">
      <c r="L484" s="16"/>
    </row>
    <row r="485" spans="12:15" x14ac:dyDescent="0.25">
      <c r="L485" s="16"/>
    </row>
    <row r="486" spans="12:15" x14ac:dyDescent="0.25">
      <c r="L486" s="16"/>
      <c r="O486" s="31">
        <v>7</v>
      </c>
    </row>
    <row r="487" spans="12:15" x14ac:dyDescent="0.25">
      <c r="L487" s="16"/>
    </row>
    <row r="488" spans="12:15" x14ac:dyDescent="0.25">
      <c r="L488" s="16"/>
    </row>
    <row r="489" spans="12:15" x14ac:dyDescent="0.25">
      <c r="L489" s="16"/>
    </row>
    <row r="490" spans="12:15" x14ac:dyDescent="0.25">
      <c r="L490" s="16"/>
    </row>
    <row r="491" spans="12:15" x14ac:dyDescent="0.25">
      <c r="L491" s="16"/>
    </row>
    <row r="492" spans="12:15" x14ac:dyDescent="0.25">
      <c r="L492" s="16"/>
    </row>
    <row r="493" spans="12:15" x14ac:dyDescent="0.25">
      <c r="L493" s="16"/>
    </row>
    <row r="494" spans="12:15" x14ac:dyDescent="0.25">
      <c r="L494" s="16"/>
    </row>
    <row r="495" spans="12:15" x14ac:dyDescent="0.25">
      <c r="L495" s="16"/>
    </row>
    <row r="496" spans="12:15" x14ac:dyDescent="0.25">
      <c r="L496" s="16"/>
    </row>
    <row r="497" spans="12:12" x14ac:dyDescent="0.25">
      <c r="L497" s="16"/>
    </row>
    <row r="498" spans="12:12" x14ac:dyDescent="0.25">
      <c r="L498" s="16"/>
    </row>
    <row r="499" spans="12:12" x14ac:dyDescent="0.25">
      <c r="L499" s="16"/>
    </row>
    <row r="500" spans="12:12" x14ac:dyDescent="0.25">
      <c r="L500" s="16"/>
    </row>
    <row r="501" spans="12:12" x14ac:dyDescent="0.25">
      <c r="L501" s="16"/>
    </row>
    <row r="502" spans="12:12" x14ac:dyDescent="0.25">
      <c r="L502" s="16"/>
    </row>
    <row r="503" spans="12:12" x14ac:dyDescent="0.25">
      <c r="L503" s="16"/>
    </row>
    <row r="504" spans="12:12" x14ac:dyDescent="0.25">
      <c r="L504" s="16"/>
    </row>
    <row r="505" spans="12:12" x14ac:dyDescent="0.25">
      <c r="L505" s="16"/>
    </row>
    <row r="506" spans="12:12" x14ac:dyDescent="0.25">
      <c r="L506" s="16"/>
    </row>
    <row r="507" spans="12:12" x14ac:dyDescent="0.25">
      <c r="L507" s="16"/>
    </row>
    <row r="508" spans="12:12" x14ac:dyDescent="0.25">
      <c r="L508" s="17"/>
    </row>
    <row r="509" spans="12:12" x14ac:dyDescent="0.25">
      <c r="L509" s="17"/>
    </row>
    <row r="510" spans="12:12" x14ac:dyDescent="0.25">
      <c r="L510" s="17"/>
    </row>
    <row r="511" spans="12:12" x14ac:dyDescent="0.25">
      <c r="L511" s="17"/>
    </row>
    <row r="512" spans="12:12" x14ac:dyDescent="0.25">
      <c r="L512" s="17"/>
    </row>
  </sheetData>
  <mergeCells count="797">
    <mergeCell ref="J396:L396"/>
    <mergeCell ref="G396:I396"/>
    <mergeCell ref="C29:M29"/>
    <mergeCell ref="C30:M30"/>
    <mergeCell ref="G395:I395"/>
    <mergeCell ref="A383:C383"/>
    <mergeCell ref="D383:F383"/>
    <mergeCell ref="G383:I383"/>
    <mergeCell ref="A384:C384"/>
    <mergeCell ref="K389:L389"/>
    <mergeCell ref="K390:L390"/>
    <mergeCell ref="K391:L391"/>
    <mergeCell ref="K392:L392"/>
    <mergeCell ref="K394:L394"/>
    <mergeCell ref="K387:L387"/>
    <mergeCell ref="G389:H389"/>
    <mergeCell ref="G390:H390"/>
    <mergeCell ref="G391:H391"/>
    <mergeCell ref="G392:H392"/>
    <mergeCell ref="A168:C168"/>
    <mergeCell ref="D168:F168"/>
    <mergeCell ref="J220:K220"/>
    <mergeCell ref="J211:K211"/>
    <mergeCell ref="J202:K202"/>
    <mergeCell ref="E388:F388"/>
    <mergeCell ref="C389:D389"/>
    <mergeCell ref="E389:F389"/>
    <mergeCell ref="C390:D390"/>
    <mergeCell ref="D376:F376"/>
    <mergeCell ref="G376:I376"/>
    <mergeCell ref="A379:C379"/>
    <mergeCell ref="D379:F379"/>
    <mergeCell ref="J395:L395"/>
    <mergeCell ref="I394:J394"/>
    <mergeCell ref="A380:C380"/>
    <mergeCell ref="D380:F380"/>
    <mergeCell ref="G380:I380"/>
    <mergeCell ref="A381:C381"/>
    <mergeCell ref="D381:F381"/>
    <mergeCell ref="G381:I381"/>
    <mergeCell ref="A382:C382"/>
    <mergeCell ref="D382:F382"/>
    <mergeCell ref="G382:I382"/>
    <mergeCell ref="A376:C376"/>
    <mergeCell ref="D384:F384"/>
    <mergeCell ref="G384:I384"/>
    <mergeCell ref="J383:K383"/>
    <mergeCell ref="J384:K384"/>
    <mergeCell ref="A375:C375"/>
    <mergeCell ref="A373:C373"/>
    <mergeCell ref="D373:F373"/>
    <mergeCell ref="G373:I373"/>
    <mergeCell ref="A374:C374"/>
    <mergeCell ref="D374:F374"/>
    <mergeCell ref="G374:I374"/>
    <mergeCell ref="G379:I379"/>
    <mergeCell ref="D375:F375"/>
    <mergeCell ref="G375:I375"/>
    <mergeCell ref="A371:C371"/>
    <mergeCell ref="D371:F371"/>
    <mergeCell ref="G371:I371"/>
    <mergeCell ref="J367:K367"/>
    <mergeCell ref="J370:K370"/>
    <mergeCell ref="J371:K371"/>
    <mergeCell ref="A372:C372"/>
    <mergeCell ref="D372:F372"/>
    <mergeCell ref="G372:I372"/>
    <mergeCell ref="A367:C367"/>
    <mergeCell ref="D367:F367"/>
    <mergeCell ref="G367:I367"/>
    <mergeCell ref="A370:C370"/>
    <mergeCell ref="D370:F370"/>
    <mergeCell ref="G370:I370"/>
    <mergeCell ref="J372:K372"/>
    <mergeCell ref="A365:C365"/>
    <mergeCell ref="D365:F365"/>
    <mergeCell ref="G365:I365"/>
    <mergeCell ref="A366:C366"/>
    <mergeCell ref="D366:F366"/>
    <mergeCell ref="G366:I366"/>
    <mergeCell ref="A363:C363"/>
    <mergeCell ref="D363:F363"/>
    <mergeCell ref="G363:I363"/>
    <mergeCell ref="A364:C364"/>
    <mergeCell ref="D364:F364"/>
    <mergeCell ref="G364:I364"/>
    <mergeCell ref="A359:C359"/>
    <mergeCell ref="D359:F359"/>
    <mergeCell ref="G359:I359"/>
    <mergeCell ref="J356:K356"/>
    <mergeCell ref="J357:K357"/>
    <mergeCell ref="J359:K359"/>
    <mergeCell ref="A362:C362"/>
    <mergeCell ref="D362:F362"/>
    <mergeCell ref="G362:I362"/>
    <mergeCell ref="A356:C356"/>
    <mergeCell ref="D356:F356"/>
    <mergeCell ref="G356:I356"/>
    <mergeCell ref="A357:C357"/>
    <mergeCell ref="D357:F357"/>
    <mergeCell ref="G357:I357"/>
    <mergeCell ref="A358:C358"/>
    <mergeCell ref="D358:F358"/>
    <mergeCell ref="A353:C353"/>
    <mergeCell ref="D353:F353"/>
    <mergeCell ref="G353:I353"/>
    <mergeCell ref="A354:C354"/>
    <mergeCell ref="D354:F354"/>
    <mergeCell ref="G354:I354"/>
    <mergeCell ref="A355:C355"/>
    <mergeCell ref="D355:F355"/>
    <mergeCell ref="G355:I355"/>
    <mergeCell ref="A342:C342"/>
    <mergeCell ref="D342:F342"/>
    <mergeCell ref="G342:I342"/>
    <mergeCell ref="A352:C352"/>
    <mergeCell ref="D352:F352"/>
    <mergeCell ref="G352:I352"/>
    <mergeCell ref="J341:K341"/>
    <mergeCell ref="J342:K342"/>
    <mergeCell ref="J352:K352"/>
    <mergeCell ref="A340:C340"/>
    <mergeCell ref="D340:F340"/>
    <mergeCell ref="G340:I340"/>
    <mergeCell ref="J338:K338"/>
    <mergeCell ref="J339:K339"/>
    <mergeCell ref="J340:K340"/>
    <mergeCell ref="A341:C341"/>
    <mergeCell ref="D341:F341"/>
    <mergeCell ref="G341:I341"/>
    <mergeCell ref="A338:C338"/>
    <mergeCell ref="D338:F338"/>
    <mergeCell ref="G338:I338"/>
    <mergeCell ref="A339:C339"/>
    <mergeCell ref="D339:F339"/>
    <mergeCell ref="G339:I339"/>
    <mergeCell ref="A332:C332"/>
    <mergeCell ref="D332:F332"/>
    <mergeCell ref="G332:I332"/>
    <mergeCell ref="A336:C336"/>
    <mergeCell ref="D336:F336"/>
    <mergeCell ref="G336:I336"/>
    <mergeCell ref="A337:C337"/>
    <mergeCell ref="D337:F337"/>
    <mergeCell ref="G337:I337"/>
    <mergeCell ref="A331:C331"/>
    <mergeCell ref="D331:F331"/>
    <mergeCell ref="G331:I331"/>
    <mergeCell ref="J330:K330"/>
    <mergeCell ref="J331:K331"/>
    <mergeCell ref="A329:C329"/>
    <mergeCell ref="D329:F329"/>
    <mergeCell ref="G329:I329"/>
    <mergeCell ref="J327:K327"/>
    <mergeCell ref="J328:K328"/>
    <mergeCell ref="J329:K329"/>
    <mergeCell ref="A330:C330"/>
    <mergeCell ref="D330:F330"/>
    <mergeCell ref="G330:I330"/>
    <mergeCell ref="A327:C327"/>
    <mergeCell ref="D327:F327"/>
    <mergeCell ref="G327:I327"/>
    <mergeCell ref="A328:C328"/>
    <mergeCell ref="D328:F328"/>
    <mergeCell ref="G328:I328"/>
    <mergeCell ref="A320:C320"/>
    <mergeCell ref="D320:F320"/>
    <mergeCell ref="G320:I320"/>
    <mergeCell ref="A321:C321"/>
    <mergeCell ref="D321:F321"/>
    <mergeCell ref="G321:I321"/>
    <mergeCell ref="A323:C323"/>
    <mergeCell ref="D323:F323"/>
    <mergeCell ref="G323:I323"/>
    <mergeCell ref="A322:C322"/>
    <mergeCell ref="D322:F322"/>
    <mergeCell ref="G322:I322"/>
    <mergeCell ref="D312:F312"/>
    <mergeCell ref="G312:I312"/>
    <mergeCell ref="A317:C317"/>
    <mergeCell ref="D317:F317"/>
    <mergeCell ref="G317:I317"/>
    <mergeCell ref="A318:C318"/>
    <mergeCell ref="D318:F318"/>
    <mergeCell ref="G318:I318"/>
    <mergeCell ref="A316:C316"/>
    <mergeCell ref="D316:F316"/>
    <mergeCell ref="A304:C304"/>
    <mergeCell ref="D304:F304"/>
    <mergeCell ref="G304:I304"/>
    <mergeCell ref="A307:C307"/>
    <mergeCell ref="D307:F307"/>
    <mergeCell ref="G307:I307"/>
    <mergeCell ref="A308:C308"/>
    <mergeCell ref="D308:F308"/>
    <mergeCell ref="G308:I308"/>
    <mergeCell ref="A302:C302"/>
    <mergeCell ref="D302:F302"/>
    <mergeCell ref="G302:I302"/>
    <mergeCell ref="A303:C303"/>
    <mergeCell ref="D303:F303"/>
    <mergeCell ref="G303:I303"/>
    <mergeCell ref="J301:K301"/>
    <mergeCell ref="J302:K302"/>
    <mergeCell ref="J303:K303"/>
    <mergeCell ref="A301:C301"/>
    <mergeCell ref="D301:F301"/>
    <mergeCell ref="G301:I301"/>
    <mergeCell ref="A295:C295"/>
    <mergeCell ref="D295:F295"/>
    <mergeCell ref="G295:I295"/>
    <mergeCell ref="A293:C293"/>
    <mergeCell ref="D293:F293"/>
    <mergeCell ref="G293:I293"/>
    <mergeCell ref="A294:C294"/>
    <mergeCell ref="D294:F294"/>
    <mergeCell ref="G294:I294"/>
    <mergeCell ref="A300:C300"/>
    <mergeCell ref="D300:F300"/>
    <mergeCell ref="G300:I300"/>
    <mergeCell ref="A289:C289"/>
    <mergeCell ref="D289:F289"/>
    <mergeCell ref="G289:I289"/>
    <mergeCell ref="J289:K289"/>
    <mergeCell ref="A290:C290"/>
    <mergeCell ref="D290:F290"/>
    <mergeCell ref="G290:I290"/>
    <mergeCell ref="A291:C291"/>
    <mergeCell ref="D291:F291"/>
    <mergeCell ref="G291:I291"/>
    <mergeCell ref="J290:K290"/>
    <mergeCell ref="J291:K291"/>
    <mergeCell ref="A292:C292"/>
    <mergeCell ref="D292:F292"/>
    <mergeCell ref="G292:I292"/>
    <mergeCell ref="A298:C298"/>
    <mergeCell ref="D298:F298"/>
    <mergeCell ref="G298:I298"/>
    <mergeCell ref="A299:C299"/>
    <mergeCell ref="D299:F299"/>
    <mergeCell ref="G299:I299"/>
    <mergeCell ref="A283:C283"/>
    <mergeCell ref="D283:F283"/>
    <mergeCell ref="G283:I283"/>
    <mergeCell ref="A284:C284"/>
    <mergeCell ref="D284:F284"/>
    <mergeCell ref="G284:I284"/>
    <mergeCell ref="A281:C281"/>
    <mergeCell ref="D281:F281"/>
    <mergeCell ref="G281:I281"/>
    <mergeCell ref="A282:C282"/>
    <mergeCell ref="D282:F282"/>
    <mergeCell ref="G282:I282"/>
    <mergeCell ref="A286:C286"/>
    <mergeCell ref="D286:F286"/>
    <mergeCell ref="G286:I286"/>
    <mergeCell ref="J284:K284"/>
    <mergeCell ref="J285:K285"/>
    <mergeCell ref="J286:K286"/>
    <mergeCell ref="A285:C285"/>
    <mergeCell ref="D285:F285"/>
    <mergeCell ref="G285:I285"/>
    <mergeCell ref="A275:C275"/>
    <mergeCell ref="D275:F275"/>
    <mergeCell ref="G275:I275"/>
    <mergeCell ref="A276:C276"/>
    <mergeCell ref="D276:F276"/>
    <mergeCell ref="G276:I276"/>
    <mergeCell ref="A277:C277"/>
    <mergeCell ref="D277:F277"/>
    <mergeCell ref="G277:I277"/>
    <mergeCell ref="A273:C273"/>
    <mergeCell ref="D273:F273"/>
    <mergeCell ref="G273:I273"/>
    <mergeCell ref="A274:C274"/>
    <mergeCell ref="D274:F274"/>
    <mergeCell ref="G274:I274"/>
    <mergeCell ref="J272:K272"/>
    <mergeCell ref="J273:K273"/>
    <mergeCell ref="J274:K274"/>
    <mergeCell ref="A269:C269"/>
    <mergeCell ref="D269:F269"/>
    <mergeCell ref="G269:I269"/>
    <mergeCell ref="J268:K268"/>
    <mergeCell ref="J269:K269"/>
    <mergeCell ref="A272:C272"/>
    <mergeCell ref="D272:F272"/>
    <mergeCell ref="G272:I272"/>
    <mergeCell ref="A268:C268"/>
    <mergeCell ref="D268:F268"/>
    <mergeCell ref="G268:I268"/>
    <mergeCell ref="A265:C265"/>
    <mergeCell ref="D265:F265"/>
    <mergeCell ref="G265:I265"/>
    <mergeCell ref="A266:C266"/>
    <mergeCell ref="D266:F266"/>
    <mergeCell ref="G266:I266"/>
    <mergeCell ref="A267:C267"/>
    <mergeCell ref="D267:F267"/>
    <mergeCell ref="G267:I267"/>
    <mergeCell ref="A261:C261"/>
    <mergeCell ref="D261:F261"/>
    <mergeCell ref="G261:I261"/>
    <mergeCell ref="A264:C264"/>
    <mergeCell ref="D264:F264"/>
    <mergeCell ref="G264:I264"/>
    <mergeCell ref="J260:K260"/>
    <mergeCell ref="J261:K261"/>
    <mergeCell ref="J264:K264"/>
    <mergeCell ref="A259:C259"/>
    <mergeCell ref="D259:F259"/>
    <mergeCell ref="G259:I259"/>
    <mergeCell ref="J257:K257"/>
    <mergeCell ref="J258:K258"/>
    <mergeCell ref="J259:K259"/>
    <mergeCell ref="A260:C260"/>
    <mergeCell ref="D260:F260"/>
    <mergeCell ref="G260:I260"/>
    <mergeCell ref="A257:C257"/>
    <mergeCell ref="D257:F257"/>
    <mergeCell ref="G257:I257"/>
    <mergeCell ref="A258:C258"/>
    <mergeCell ref="D258:F258"/>
    <mergeCell ref="G258:I258"/>
    <mergeCell ref="A252:C252"/>
    <mergeCell ref="D252:F252"/>
    <mergeCell ref="G252:I252"/>
    <mergeCell ref="A255:C255"/>
    <mergeCell ref="D255:F255"/>
    <mergeCell ref="G255:I255"/>
    <mergeCell ref="A256:C256"/>
    <mergeCell ref="D256:F256"/>
    <mergeCell ref="G256:I256"/>
    <mergeCell ref="A250:C250"/>
    <mergeCell ref="D250:F250"/>
    <mergeCell ref="G250:I250"/>
    <mergeCell ref="A251:C251"/>
    <mergeCell ref="D251:F251"/>
    <mergeCell ref="G251:I251"/>
    <mergeCell ref="J249:K249"/>
    <mergeCell ref="J250:K250"/>
    <mergeCell ref="J251:K251"/>
    <mergeCell ref="A248:C248"/>
    <mergeCell ref="D248:F248"/>
    <mergeCell ref="G248:I248"/>
    <mergeCell ref="J246:K246"/>
    <mergeCell ref="J247:K247"/>
    <mergeCell ref="J248:K248"/>
    <mergeCell ref="A249:C249"/>
    <mergeCell ref="D249:F249"/>
    <mergeCell ref="G249:I249"/>
    <mergeCell ref="A246:C246"/>
    <mergeCell ref="D246:F246"/>
    <mergeCell ref="G246:I246"/>
    <mergeCell ref="A247:C247"/>
    <mergeCell ref="D247:F247"/>
    <mergeCell ref="G247:I247"/>
    <mergeCell ref="A241:C241"/>
    <mergeCell ref="D241:F241"/>
    <mergeCell ref="G241:I241"/>
    <mergeCell ref="A242:C242"/>
    <mergeCell ref="D242:F242"/>
    <mergeCell ref="G242:I242"/>
    <mergeCell ref="A239:C239"/>
    <mergeCell ref="D239:F239"/>
    <mergeCell ref="G239:I239"/>
    <mergeCell ref="A240:C240"/>
    <mergeCell ref="D240:F240"/>
    <mergeCell ref="G240:I240"/>
    <mergeCell ref="A234:C234"/>
    <mergeCell ref="D234:F234"/>
    <mergeCell ref="G234:I234"/>
    <mergeCell ref="A237:C237"/>
    <mergeCell ref="D237:F237"/>
    <mergeCell ref="G237:I237"/>
    <mergeCell ref="A238:C238"/>
    <mergeCell ref="D238:F238"/>
    <mergeCell ref="G238:I238"/>
    <mergeCell ref="A233:C233"/>
    <mergeCell ref="D233:F233"/>
    <mergeCell ref="G233:I233"/>
    <mergeCell ref="A229:C229"/>
    <mergeCell ref="D229:F229"/>
    <mergeCell ref="G229:I229"/>
    <mergeCell ref="A230:C230"/>
    <mergeCell ref="D230:F230"/>
    <mergeCell ref="G230:I230"/>
    <mergeCell ref="A231:C231"/>
    <mergeCell ref="D231:F231"/>
    <mergeCell ref="G231:I231"/>
    <mergeCell ref="J225:K225"/>
    <mergeCell ref="A223:C223"/>
    <mergeCell ref="D223:F223"/>
    <mergeCell ref="G223:I223"/>
    <mergeCell ref="A224:C224"/>
    <mergeCell ref="D224:F224"/>
    <mergeCell ref="G224:I224"/>
    <mergeCell ref="A232:C232"/>
    <mergeCell ref="D232:F232"/>
    <mergeCell ref="G232:I232"/>
    <mergeCell ref="A221:C221"/>
    <mergeCell ref="D221:F221"/>
    <mergeCell ref="G221:I221"/>
    <mergeCell ref="A222:C222"/>
    <mergeCell ref="D222:F222"/>
    <mergeCell ref="G222:I222"/>
    <mergeCell ref="A225:C225"/>
    <mergeCell ref="D225:F225"/>
    <mergeCell ref="G225:I225"/>
    <mergeCell ref="A216:C216"/>
    <mergeCell ref="D216:F216"/>
    <mergeCell ref="G216:I216"/>
    <mergeCell ref="A217:C217"/>
    <mergeCell ref="D217:F217"/>
    <mergeCell ref="G217:I217"/>
    <mergeCell ref="A220:C220"/>
    <mergeCell ref="D220:F220"/>
    <mergeCell ref="G220:I220"/>
    <mergeCell ref="A213:C213"/>
    <mergeCell ref="D213:F213"/>
    <mergeCell ref="G213:I213"/>
    <mergeCell ref="A214:C214"/>
    <mergeCell ref="D214:F214"/>
    <mergeCell ref="G214:I214"/>
    <mergeCell ref="A215:C215"/>
    <mergeCell ref="D215:F215"/>
    <mergeCell ref="G215:I215"/>
    <mergeCell ref="B119:C119"/>
    <mergeCell ref="D119:E119"/>
    <mergeCell ref="F119:G119"/>
    <mergeCell ref="H119:I119"/>
    <mergeCell ref="J119:K119"/>
    <mergeCell ref="A140:M140"/>
    <mergeCell ref="F120:G120"/>
    <mergeCell ref="A212:C212"/>
    <mergeCell ref="D212:F212"/>
    <mergeCell ref="G212:I212"/>
    <mergeCell ref="J200:K200"/>
    <mergeCell ref="A203:C203"/>
    <mergeCell ref="D203:F203"/>
    <mergeCell ref="A211:C211"/>
    <mergeCell ref="D211:F211"/>
    <mergeCell ref="A199:C199"/>
    <mergeCell ref="A200:C200"/>
    <mergeCell ref="D200:F200"/>
    <mergeCell ref="G200:I200"/>
    <mergeCell ref="A201:C201"/>
    <mergeCell ref="D201:F201"/>
    <mergeCell ref="A204:C204"/>
    <mergeCell ref="D204:F204"/>
    <mergeCell ref="A202:C202"/>
    <mergeCell ref="B108:C108"/>
    <mergeCell ref="D108:E108"/>
    <mergeCell ref="F108:G108"/>
    <mergeCell ref="H108:I108"/>
    <mergeCell ref="J108:K108"/>
    <mergeCell ref="B109:C109"/>
    <mergeCell ref="D109:E109"/>
    <mergeCell ref="F109:G109"/>
    <mergeCell ref="H109:I109"/>
    <mergeCell ref="J109:K109"/>
    <mergeCell ref="B106:C106"/>
    <mergeCell ref="D106:E106"/>
    <mergeCell ref="F106:G106"/>
    <mergeCell ref="H106:I106"/>
    <mergeCell ref="J106:K106"/>
    <mergeCell ref="B107:C107"/>
    <mergeCell ref="D107:E107"/>
    <mergeCell ref="F107:G107"/>
    <mergeCell ref="H107:I107"/>
    <mergeCell ref="J107:K107"/>
    <mergeCell ref="D2:H2"/>
    <mergeCell ref="C3:J3"/>
    <mergeCell ref="C4:J4"/>
    <mergeCell ref="C5:J5"/>
    <mergeCell ref="C76:D76"/>
    <mergeCell ref="E76:F76"/>
    <mergeCell ref="G76:H76"/>
    <mergeCell ref="I76:J76"/>
    <mergeCell ref="K76:L76"/>
    <mergeCell ref="C15:M15"/>
    <mergeCell ref="C16:M16"/>
    <mergeCell ref="A70:B70"/>
    <mergeCell ref="C70:D70"/>
    <mergeCell ref="E70:F70"/>
    <mergeCell ref="G70:H70"/>
    <mergeCell ref="I70:J70"/>
    <mergeCell ref="K70:L70"/>
    <mergeCell ref="B33:M33"/>
    <mergeCell ref="A69:B69"/>
    <mergeCell ref="C69:D69"/>
    <mergeCell ref="E69:F69"/>
    <mergeCell ref="G69:H69"/>
    <mergeCell ref="I69:J69"/>
    <mergeCell ref="K69:L69"/>
    <mergeCell ref="A72:B72"/>
    <mergeCell ref="C72:D72"/>
    <mergeCell ref="E72:F72"/>
    <mergeCell ref="G72:H72"/>
    <mergeCell ref="I72:J72"/>
    <mergeCell ref="K72:L72"/>
    <mergeCell ref="A71:B71"/>
    <mergeCell ref="C71:D71"/>
    <mergeCell ref="E71:F71"/>
    <mergeCell ref="G71:H71"/>
    <mergeCell ref="I71:J71"/>
    <mergeCell ref="K71:L71"/>
    <mergeCell ref="A74:B74"/>
    <mergeCell ref="C74:D74"/>
    <mergeCell ref="E74:F74"/>
    <mergeCell ref="G74:H74"/>
    <mergeCell ref="I74:J74"/>
    <mergeCell ref="K74:L74"/>
    <mergeCell ref="A73:B73"/>
    <mergeCell ref="C73:D73"/>
    <mergeCell ref="E73:F73"/>
    <mergeCell ref="G73:H73"/>
    <mergeCell ref="I73:J73"/>
    <mergeCell ref="K73:L73"/>
    <mergeCell ref="A77:B77"/>
    <mergeCell ref="C77:D77"/>
    <mergeCell ref="E77:F77"/>
    <mergeCell ref="G77:H77"/>
    <mergeCell ref="I77:J77"/>
    <mergeCell ref="K77:L77"/>
    <mergeCell ref="A75:B75"/>
    <mergeCell ref="C75:D75"/>
    <mergeCell ref="E75:F75"/>
    <mergeCell ref="G75:H75"/>
    <mergeCell ref="I75:J75"/>
    <mergeCell ref="K75:L75"/>
    <mergeCell ref="A80:B80"/>
    <mergeCell ref="C80:D80"/>
    <mergeCell ref="E80:F80"/>
    <mergeCell ref="G80:H80"/>
    <mergeCell ref="I80:J80"/>
    <mergeCell ref="K80:L80"/>
    <mergeCell ref="A78:B78"/>
    <mergeCell ref="C78:D78"/>
    <mergeCell ref="E78:F78"/>
    <mergeCell ref="G78:H78"/>
    <mergeCell ref="I78:J78"/>
    <mergeCell ref="K78:L78"/>
    <mergeCell ref="A79:B79"/>
    <mergeCell ref="C79:D79"/>
    <mergeCell ref="E79:F79"/>
    <mergeCell ref="G79:H79"/>
    <mergeCell ref="I79:J79"/>
    <mergeCell ref="K79:L79"/>
    <mergeCell ref="A82:B82"/>
    <mergeCell ref="C82:D82"/>
    <mergeCell ref="E82:F82"/>
    <mergeCell ref="G82:H82"/>
    <mergeCell ref="I82:J82"/>
    <mergeCell ref="K82:L82"/>
    <mergeCell ref="A81:B81"/>
    <mergeCell ref="C81:D81"/>
    <mergeCell ref="E81:F81"/>
    <mergeCell ref="G81:H81"/>
    <mergeCell ref="I81:J81"/>
    <mergeCell ref="K81:L81"/>
    <mergeCell ref="A84:B84"/>
    <mergeCell ref="C84:D84"/>
    <mergeCell ref="E84:F84"/>
    <mergeCell ref="G84:H84"/>
    <mergeCell ref="I84:J84"/>
    <mergeCell ref="K84:L84"/>
    <mergeCell ref="A83:B83"/>
    <mergeCell ref="C83:D83"/>
    <mergeCell ref="E83:F83"/>
    <mergeCell ref="G83:H83"/>
    <mergeCell ref="I83:J83"/>
    <mergeCell ref="K83:L83"/>
    <mergeCell ref="A86:B86"/>
    <mergeCell ref="C86:D86"/>
    <mergeCell ref="E86:F86"/>
    <mergeCell ref="G86:H86"/>
    <mergeCell ref="I86:J86"/>
    <mergeCell ref="K86:L86"/>
    <mergeCell ref="A85:B85"/>
    <mergeCell ref="C85:D85"/>
    <mergeCell ref="E85:F85"/>
    <mergeCell ref="G85:H85"/>
    <mergeCell ref="I85:J85"/>
    <mergeCell ref="K85:L85"/>
    <mergeCell ref="A88:B88"/>
    <mergeCell ref="C88:D88"/>
    <mergeCell ref="E88:F88"/>
    <mergeCell ref="G88:H88"/>
    <mergeCell ref="I88:J88"/>
    <mergeCell ref="K88:L88"/>
    <mergeCell ref="A87:B87"/>
    <mergeCell ref="C87:D87"/>
    <mergeCell ref="E87:F87"/>
    <mergeCell ref="G87:H87"/>
    <mergeCell ref="I87:J87"/>
    <mergeCell ref="K87:L87"/>
    <mergeCell ref="A91:B91"/>
    <mergeCell ref="C91:D91"/>
    <mergeCell ref="E91:F91"/>
    <mergeCell ref="G91:H91"/>
    <mergeCell ref="I91:J91"/>
    <mergeCell ref="K91:L91"/>
    <mergeCell ref="A89:B89"/>
    <mergeCell ref="C89:D89"/>
    <mergeCell ref="E89:F89"/>
    <mergeCell ref="G89:H89"/>
    <mergeCell ref="I89:J89"/>
    <mergeCell ref="K89:L89"/>
    <mergeCell ref="A90:B90"/>
    <mergeCell ref="C90:D90"/>
    <mergeCell ref="E90:F90"/>
    <mergeCell ref="G90:H90"/>
    <mergeCell ref="I90:J90"/>
    <mergeCell ref="K90:L90"/>
    <mergeCell ref="J221:K221"/>
    <mergeCell ref="J222:K222"/>
    <mergeCell ref="J223:K223"/>
    <mergeCell ref="J224:K224"/>
    <mergeCell ref="G201:I201"/>
    <mergeCell ref="G204:I204"/>
    <mergeCell ref="J212:K212"/>
    <mergeCell ref="J213:K213"/>
    <mergeCell ref="J214:K214"/>
    <mergeCell ref="J215:K215"/>
    <mergeCell ref="J216:K216"/>
    <mergeCell ref="J217:K217"/>
    <mergeCell ref="J203:K203"/>
    <mergeCell ref="J204:K204"/>
    <mergeCell ref="J201:K201"/>
    <mergeCell ref="G203:I203"/>
    <mergeCell ref="G211:I211"/>
    <mergeCell ref="D202:F202"/>
    <mergeCell ref="G202:I202"/>
    <mergeCell ref="A121:M121"/>
    <mergeCell ref="A125:O125"/>
    <mergeCell ref="A154:O154"/>
    <mergeCell ref="A278:C278"/>
    <mergeCell ref="D278:F278"/>
    <mergeCell ref="G278:I278"/>
    <mergeCell ref="J229:K229"/>
    <mergeCell ref="J230:K230"/>
    <mergeCell ref="J231:K231"/>
    <mergeCell ref="J232:K232"/>
    <mergeCell ref="J233:K233"/>
    <mergeCell ref="J234:K234"/>
    <mergeCell ref="J278:K278"/>
    <mergeCell ref="J241:K241"/>
    <mergeCell ref="J242:K242"/>
    <mergeCell ref="J252:K252"/>
    <mergeCell ref="J256:K256"/>
    <mergeCell ref="J255:K255"/>
    <mergeCell ref="J265:K265"/>
    <mergeCell ref="J266:K266"/>
    <mergeCell ref="J267:K267"/>
    <mergeCell ref="J275:K275"/>
    <mergeCell ref="J276:K276"/>
    <mergeCell ref="J277:K277"/>
    <mergeCell ref="J238:K238"/>
    <mergeCell ref="J239:K239"/>
    <mergeCell ref="J240:K240"/>
    <mergeCell ref="J304:K304"/>
    <mergeCell ref="J307:K307"/>
    <mergeCell ref="J308:K308"/>
    <mergeCell ref="J281:K281"/>
    <mergeCell ref="J282:K282"/>
    <mergeCell ref="J283:K283"/>
    <mergeCell ref="J292:K292"/>
    <mergeCell ref="J293:K293"/>
    <mergeCell ref="J294:K294"/>
    <mergeCell ref="J295:K295"/>
    <mergeCell ref="G388:H388"/>
    <mergeCell ref="K388:L388"/>
    <mergeCell ref="I388:J388"/>
    <mergeCell ref="J298:K298"/>
    <mergeCell ref="J299:K299"/>
    <mergeCell ref="J300:K300"/>
    <mergeCell ref="J336:K336"/>
    <mergeCell ref="J337:K337"/>
    <mergeCell ref="J353:K353"/>
    <mergeCell ref="J354:K354"/>
    <mergeCell ref="J355:K355"/>
    <mergeCell ref="J365:K365"/>
    <mergeCell ref="J366:K366"/>
    <mergeCell ref="J376:K376"/>
    <mergeCell ref="J379:K379"/>
    <mergeCell ref="J380:K380"/>
    <mergeCell ref="J310:K310"/>
    <mergeCell ref="J316:K316"/>
    <mergeCell ref="J317:K317"/>
    <mergeCell ref="J318:K318"/>
    <mergeCell ref="J311:K311"/>
    <mergeCell ref="J312:K312"/>
    <mergeCell ref="G319:I319"/>
    <mergeCell ref="J362:K362"/>
    <mergeCell ref="J373:K373"/>
    <mergeCell ref="J374:K374"/>
    <mergeCell ref="J375:K375"/>
    <mergeCell ref="A319:C319"/>
    <mergeCell ref="D319:F319"/>
    <mergeCell ref="J309:K309"/>
    <mergeCell ref="G358:I358"/>
    <mergeCell ref="G316:I316"/>
    <mergeCell ref="J319:K319"/>
    <mergeCell ref="J321:K321"/>
    <mergeCell ref="J320:K320"/>
    <mergeCell ref="J323:K323"/>
    <mergeCell ref="J332:K332"/>
    <mergeCell ref="A309:C309"/>
    <mergeCell ref="D309:F309"/>
    <mergeCell ref="G309:I309"/>
    <mergeCell ref="A310:C310"/>
    <mergeCell ref="D310:F310"/>
    <mergeCell ref="G310:I310"/>
    <mergeCell ref="A311:C311"/>
    <mergeCell ref="D311:F311"/>
    <mergeCell ref="J322:K322"/>
    <mergeCell ref="G311:I311"/>
    <mergeCell ref="A312:C312"/>
    <mergeCell ref="E395:F395"/>
    <mergeCell ref="E396:F396"/>
    <mergeCell ref="I387:J387"/>
    <mergeCell ref="A387:B387"/>
    <mergeCell ref="A388:B388"/>
    <mergeCell ref="E390:F390"/>
    <mergeCell ref="C391:D391"/>
    <mergeCell ref="E391:F391"/>
    <mergeCell ref="C392:D392"/>
    <mergeCell ref="E392:F392"/>
    <mergeCell ref="C394:D394"/>
    <mergeCell ref="E394:F394"/>
    <mergeCell ref="A389:B389"/>
    <mergeCell ref="A390:B390"/>
    <mergeCell ref="A391:B391"/>
    <mergeCell ref="A392:B392"/>
    <mergeCell ref="G394:H394"/>
    <mergeCell ref="I389:J389"/>
    <mergeCell ref="G387:H387"/>
    <mergeCell ref="I390:J390"/>
    <mergeCell ref="I391:J391"/>
    <mergeCell ref="I392:J392"/>
    <mergeCell ref="A394:B394"/>
    <mergeCell ref="C387:D387"/>
    <mergeCell ref="H110:I110"/>
    <mergeCell ref="H111:I111"/>
    <mergeCell ref="H112:I112"/>
    <mergeCell ref="J110:K110"/>
    <mergeCell ref="J111:K111"/>
    <mergeCell ref="J112:K112"/>
    <mergeCell ref="B110:C110"/>
    <mergeCell ref="B111:C111"/>
    <mergeCell ref="B112:C112"/>
    <mergeCell ref="D110:E110"/>
    <mergeCell ref="D111:E111"/>
    <mergeCell ref="D112:E112"/>
    <mergeCell ref="F110:G110"/>
    <mergeCell ref="F111:G111"/>
    <mergeCell ref="F112:G112"/>
    <mergeCell ref="H113:I113"/>
    <mergeCell ref="H114:I114"/>
    <mergeCell ref="H115:I115"/>
    <mergeCell ref="J113:K113"/>
    <mergeCell ref="J114:K114"/>
    <mergeCell ref="J115:K115"/>
    <mergeCell ref="B113:C113"/>
    <mergeCell ref="B114:C114"/>
    <mergeCell ref="B115:C115"/>
    <mergeCell ref="D113:E113"/>
    <mergeCell ref="D114:E114"/>
    <mergeCell ref="D115:E115"/>
    <mergeCell ref="F113:G113"/>
    <mergeCell ref="F114:G114"/>
    <mergeCell ref="F115:G115"/>
    <mergeCell ref="A393:B393"/>
    <mergeCell ref="C393:D393"/>
    <mergeCell ref="E393:F393"/>
    <mergeCell ref="H116:I116"/>
    <mergeCell ref="H117:I117"/>
    <mergeCell ref="H118:I118"/>
    <mergeCell ref="J116:K116"/>
    <mergeCell ref="J117:K117"/>
    <mergeCell ref="J118:K118"/>
    <mergeCell ref="B116:C116"/>
    <mergeCell ref="B117:C117"/>
    <mergeCell ref="B118:C118"/>
    <mergeCell ref="D116:E116"/>
    <mergeCell ref="D117:E117"/>
    <mergeCell ref="D118:E118"/>
    <mergeCell ref="F116:G116"/>
    <mergeCell ref="F117:G117"/>
    <mergeCell ref="F118:G118"/>
    <mergeCell ref="C388:D388"/>
    <mergeCell ref="E387:F387"/>
    <mergeCell ref="J382:K382"/>
    <mergeCell ref="J364:K364"/>
    <mergeCell ref="J381:K381"/>
    <mergeCell ref="J363:K363"/>
  </mergeCells>
  <pageMargins left="0.25" right="0.25" top="0.75" bottom="0.75" header="0.3" footer="0.3"/>
  <pageSetup paperSize="9" scale="90" orientation="landscape" r:id="rId1"/>
  <ignoredErrors>
    <ignoredError sqref="N79:N80 N81:N89 O244" numberStoredAsText="1"/>
    <ignoredError sqref="I394" formulaRange="1"/>
  </ignoredError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12</xdr:col>
                <xdr:colOff>295275</xdr:colOff>
                <xdr:row>1</xdr:row>
                <xdr:rowOff>66675</xdr:rowOff>
              </from>
              <to>
                <xdr:col>13</xdr:col>
                <xdr:colOff>571500</xdr:colOff>
                <xdr:row>5</xdr:row>
                <xdr:rowOff>161925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Shyqiri Bublaku</dc:creator>
  <cp:lastModifiedBy>Shyqiri Bublaku</cp:lastModifiedBy>
  <cp:lastPrinted>2022-01-11T09:56:04Z</cp:lastPrinted>
  <dcterms:created xsi:type="dcterms:W3CDTF">2019-04-10T07:52:02Z</dcterms:created>
  <dcterms:modified xsi:type="dcterms:W3CDTF">2022-01-26T08:02:38Z</dcterms:modified>
</cp:coreProperties>
</file>